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/>
  </bookViews>
  <sheets>
    <sheet name="ИТОГ 2020-2022" sheetId="4" r:id="rId1"/>
    <sheet name="Лист1" sheetId="1" state="hidden" r:id="rId2"/>
    <sheet name="Лист2" sheetId="2" state="hidden" r:id="rId3"/>
    <sheet name="Лист3" sheetId="3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'ИТОГ 2020-2022'!$A$386:$V$695</definedName>
    <definedName name="_xlnm.Print_Area" localSheetId="0">'ИТОГ 2020-2022'!$A$1:$U$1197</definedName>
    <definedName name="стены">[1]Справочники!$A$201:$A$223</definedName>
  </definedNames>
  <calcPr calcId="125725" iterateDelta="1E-4" fullPrecision="0"/>
</workbook>
</file>

<file path=xl/calcChain.xml><?xml version="1.0" encoding="utf-8"?>
<calcChain xmlns="http://schemas.openxmlformats.org/spreadsheetml/2006/main">
  <c r="O928" i="4"/>
  <c r="O926" l="1"/>
  <c r="O925"/>
  <c r="O785"/>
  <c r="O1113"/>
  <c r="Q1113" s="1"/>
  <c r="I748" l="1"/>
  <c r="S748"/>
  <c r="I752"/>
  <c r="S753"/>
  <c r="I753"/>
  <c r="O1163"/>
  <c r="O1162"/>
  <c r="O1167" l="1"/>
  <c r="M1162"/>
  <c r="O1161"/>
  <c r="O1156"/>
  <c r="Q1184" l="1"/>
  <c r="H1000" l="1"/>
  <c r="H998"/>
  <c r="H996"/>
  <c r="H994"/>
  <c r="H992"/>
  <c r="H990"/>
  <c r="H989"/>
  <c r="M703"/>
  <c r="M701"/>
  <c r="M702"/>
  <c r="M700" l="1"/>
  <c r="K951" l="1"/>
  <c r="V759" l="1"/>
  <c r="H1038" l="1"/>
  <c r="S1038" s="1"/>
  <c r="Q820" l="1"/>
  <c r="H884" l="1"/>
  <c r="Q884" s="1"/>
  <c r="H885"/>
  <c r="Q885" s="1"/>
  <c r="I891"/>
  <c r="I915"/>
  <c r="H915" s="1"/>
  <c r="Q915" s="1"/>
  <c r="Q925"/>
  <c r="Q926"/>
  <c r="Q928"/>
  <c r="L1084" l="1"/>
  <c r="N1084"/>
  <c r="H901" l="1"/>
  <c r="Q901" s="1"/>
  <c r="H910" l="1"/>
  <c r="Q910" s="1"/>
  <c r="O841" l="1"/>
  <c r="I841"/>
  <c r="H971" l="1"/>
  <c r="Q971" s="1"/>
  <c r="H840"/>
  <c r="Q840" s="1"/>
  <c r="G744"/>
  <c r="F744"/>
  <c r="O744"/>
  <c r="O1108"/>
  <c r="H1107"/>
  <c r="Q1107" s="1"/>
  <c r="Q1108" s="1"/>
  <c r="G1108"/>
  <c r="F1108"/>
  <c r="Q744" l="1"/>
  <c r="K1097"/>
  <c r="O1097"/>
  <c r="G1097"/>
  <c r="F1097"/>
  <c r="H1096" l="1"/>
  <c r="Q1096" s="1"/>
  <c r="Q1097" s="1"/>
  <c r="J1186"/>
  <c r="L1186"/>
  <c r="P1186"/>
  <c r="R1186"/>
  <c r="H1185"/>
  <c r="Q1185" s="1"/>
  <c r="G1186"/>
  <c r="F1186"/>
  <c r="F976" l="1"/>
  <c r="H1119"/>
  <c r="Q1119" s="1"/>
  <c r="H1118"/>
  <c r="Q1118" s="1"/>
  <c r="G1121"/>
  <c r="I1121"/>
  <c r="J1121"/>
  <c r="L1121"/>
  <c r="M1121"/>
  <c r="N1121"/>
  <c r="O1121"/>
  <c r="P1121"/>
  <c r="R1121"/>
  <c r="F1121"/>
  <c r="Q1121" l="1"/>
  <c r="H1063"/>
  <c r="Q1063" l="1"/>
  <c r="Q1084" s="1"/>
  <c r="G1010" l="1"/>
  <c r="F1010"/>
  <c r="H930" l="1"/>
  <c r="Q930" s="1"/>
  <c r="L309" l="1"/>
  <c r="Q881"/>
  <c r="N1186" l="1"/>
  <c r="S928" l="1"/>
  <c r="S926"/>
  <c r="S925"/>
  <c r="S785"/>
  <c r="O1184" l="1"/>
  <c r="Q1186"/>
  <c r="Q756" l="1"/>
  <c r="Q754"/>
  <c r="H756" l="1"/>
  <c r="H755"/>
  <c r="Q755"/>
  <c r="H754"/>
  <c r="K1006" l="1"/>
  <c r="S1006" s="1"/>
  <c r="K1005"/>
  <c r="S1005" s="1"/>
  <c r="H1006"/>
  <c r="H1005" l="1"/>
  <c r="H1112"/>
  <c r="Q1112" l="1"/>
  <c r="Q786"/>
  <c r="H786" l="1"/>
  <c r="Q938" l="1"/>
  <c r="Q931"/>
  <c r="H931"/>
  <c r="Q879"/>
  <c r="H879"/>
  <c r="J976" l="1"/>
  <c r="P976"/>
  <c r="R976"/>
  <c r="H975"/>
  <c r="H972"/>
  <c r="H973"/>
  <c r="H974"/>
  <c r="S973"/>
  <c r="S974"/>
  <c r="S975"/>
  <c r="S972"/>
  <c r="S908"/>
  <c r="S907"/>
  <c r="H907"/>
  <c r="H908"/>
  <c r="S890"/>
  <c r="S889"/>
  <c r="H889"/>
  <c r="H890"/>
  <c r="S872"/>
  <c r="S873"/>
  <c r="S874"/>
  <c r="S875"/>
  <c r="S876"/>
  <c r="H872"/>
  <c r="H873"/>
  <c r="H874"/>
  <c r="H875"/>
  <c r="H876"/>
  <c r="S871"/>
  <c r="H871"/>
  <c r="H864"/>
  <c r="S864" s="1"/>
  <c r="H863"/>
  <c r="S863" s="1"/>
  <c r="S843"/>
  <c r="S844"/>
  <c r="S845"/>
  <c r="S842"/>
  <c r="H842"/>
  <c r="H843"/>
  <c r="H844"/>
  <c r="H845"/>
  <c r="Q785"/>
  <c r="S784"/>
  <c r="S783"/>
  <c r="H783"/>
  <c r="H784"/>
  <c r="Q882"/>
  <c r="Q953"/>
  <c r="H953"/>
  <c r="Q951"/>
  <c r="H951"/>
  <c r="H947"/>
  <c r="Q947" s="1"/>
  <c r="Q943"/>
  <c r="Q942"/>
  <c r="H942"/>
  <c r="H943"/>
  <c r="H944"/>
  <c r="Q944" s="1"/>
  <c r="Q906"/>
  <c r="Q905"/>
  <c r="H891"/>
  <c r="Q883"/>
  <c r="H883"/>
  <c r="G976"/>
  <c r="Q870"/>
  <c r="H839"/>
  <c r="Q839" s="1"/>
  <c r="H831"/>
  <c r="Q831" s="1"/>
  <c r="H906" l="1"/>
  <c r="H905"/>
  <c r="H882"/>
  <c r="Q891"/>
  <c r="H870"/>
  <c r="H811"/>
  <c r="Q811"/>
  <c r="H968" l="1"/>
  <c r="Q968" s="1"/>
  <c r="H969"/>
  <c r="Q969" s="1"/>
  <c r="H970"/>
  <c r="Q970" s="1"/>
  <c r="I964"/>
  <c r="H966"/>
  <c r="S966" s="1"/>
  <c r="H945"/>
  <c r="Q945" s="1"/>
  <c r="H946"/>
  <c r="Q946" s="1"/>
  <c r="H948"/>
  <c r="Q948" s="1"/>
  <c r="H949"/>
  <c r="Q949" s="1"/>
  <c r="H950"/>
  <c r="Q950" s="1"/>
  <c r="H952"/>
  <c r="Q952" s="1"/>
  <c r="H954"/>
  <c r="Q954" s="1"/>
  <c r="H955"/>
  <c r="Q955" s="1"/>
  <c r="H956"/>
  <c r="Q956" s="1"/>
  <c r="H957"/>
  <c r="Q957" s="1"/>
  <c r="H958"/>
  <c r="Q958" s="1"/>
  <c r="H959"/>
  <c r="Q959" s="1"/>
  <c r="H960"/>
  <c r="Q960" s="1"/>
  <c r="H961"/>
  <c r="Q961" s="1"/>
  <c r="H962"/>
  <c r="Q962" s="1"/>
  <c r="H963"/>
  <c r="Q963" s="1"/>
  <c r="K964"/>
  <c r="O964"/>
  <c r="H965"/>
  <c r="S965" s="1"/>
  <c r="K967"/>
  <c r="M967"/>
  <c r="O967"/>
  <c r="J978"/>
  <c r="H978" s="1"/>
  <c r="J979"/>
  <c r="H979" s="1"/>
  <c r="S979" s="1"/>
  <c r="K980"/>
  <c r="H980" s="1"/>
  <c r="S980" s="1"/>
  <c r="K981"/>
  <c r="H981" s="1"/>
  <c r="S981" s="1"/>
  <c r="K982"/>
  <c r="H982" s="1"/>
  <c r="S982" s="1"/>
  <c r="J983"/>
  <c r="H983" s="1"/>
  <c r="S983" s="1"/>
  <c r="I984"/>
  <c r="H984" s="1"/>
  <c r="S984" s="1"/>
  <c r="H985"/>
  <c r="Q985" s="1"/>
  <c r="H986"/>
  <c r="Q986" s="1"/>
  <c r="H988"/>
  <c r="Q988" s="1"/>
  <c r="Q989"/>
  <c r="Q990"/>
  <c r="H991"/>
  <c r="Q991" s="1"/>
  <c r="Q992"/>
  <c r="H993"/>
  <c r="Q993" s="1"/>
  <c r="H935"/>
  <c r="Q935" s="1"/>
  <c r="H925"/>
  <c r="H926"/>
  <c r="H927"/>
  <c r="Q927" s="1"/>
  <c r="H928"/>
  <c r="H929"/>
  <c r="Q929" s="1"/>
  <c r="H919"/>
  <c r="Q919" s="1"/>
  <c r="H920"/>
  <c r="Q920" s="1"/>
  <c r="H921"/>
  <c r="Q921" s="1"/>
  <c r="H922"/>
  <c r="Q922" s="1"/>
  <c r="H923"/>
  <c r="Q923" s="1"/>
  <c r="H912"/>
  <c r="Q912" s="1"/>
  <c r="H913"/>
  <c r="Q913" s="1"/>
  <c r="H914"/>
  <c r="Q914" s="1"/>
  <c r="H899"/>
  <c r="Q899" s="1"/>
  <c r="H886"/>
  <c r="Q886" s="1"/>
  <c r="H887"/>
  <c r="Q887" s="1"/>
  <c r="H888"/>
  <c r="Q888" s="1"/>
  <c r="H865"/>
  <c r="Q865" s="1"/>
  <c r="H866"/>
  <c r="Q866" s="1"/>
  <c r="H867"/>
  <c r="Q867" s="1"/>
  <c r="H846"/>
  <c r="Q846" s="1"/>
  <c r="H847"/>
  <c r="Q847" s="1"/>
  <c r="H848"/>
  <c r="Q848" s="1"/>
  <c r="H849"/>
  <c r="Q849" s="1"/>
  <c r="H850"/>
  <c r="Q850" s="1"/>
  <c r="H851"/>
  <c r="Q851" s="1"/>
  <c r="H852"/>
  <c r="Q852" s="1"/>
  <c r="H853"/>
  <c r="Q853" s="1"/>
  <c r="H854"/>
  <c r="Q854" s="1"/>
  <c r="H855"/>
  <c r="Q855" s="1"/>
  <c r="H856"/>
  <c r="Q856" s="1"/>
  <c r="H857"/>
  <c r="Q857" s="1"/>
  <c r="H858"/>
  <c r="Q858" s="1"/>
  <c r="H859"/>
  <c r="Q859" s="1"/>
  <c r="H860"/>
  <c r="Q860" s="1"/>
  <c r="H832"/>
  <c r="Q832" s="1"/>
  <c r="H833"/>
  <c r="Q833" s="1"/>
  <c r="H834"/>
  <c r="Q834" s="1"/>
  <c r="H835"/>
  <c r="Q835" s="1"/>
  <c r="H836"/>
  <c r="Q836" s="1"/>
  <c r="H837"/>
  <c r="Q837" s="1"/>
  <c r="H838"/>
  <c r="Q838" s="1"/>
  <c r="H821"/>
  <c r="Q821" s="1"/>
  <c r="H822"/>
  <c r="Q822" s="1"/>
  <c r="H823"/>
  <c r="Q823" s="1"/>
  <c r="H824"/>
  <c r="Q824" s="1"/>
  <c r="H825"/>
  <c r="Q825" s="1"/>
  <c r="H826"/>
  <c r="Q826" s="1"/>
  <c r="H827"/>
  <c r="Q827" s="1"/>
  <c r="H828"/>
  <c r="Q828" s="1"/>
  <c r="H829"/>
  <c r="Q829" s="1"/>
  <c r="H830"/>
  <c r="Q830" s="1"/>
  <c r="H814"/>
  <c r="Q814" s="1"/>
  <c r="H815"/>
  <c r="Q815" s="1"/>
  <c r="H816"/>
  <c r="Q816" s="1"/>
  <c r="H817"/>
  <c r="Q817" s="1"/>
  <c r="H818"/>
  <c r="Q818" s="1"/>
  <c r="H819"/>
  <c r="Q819" s="1"/>
  <c r="H812"/>
  <c r="Q812" s="1"/>
  <c r="H804"/>
  <c r="Q804" s="1"/>
  <c r="H805"/>
  <c r="Q805" s="1"/>
  <c r="H806"/>
  <c r="Q806" s="1"/>
  <c r="H807"/>
  <c r="Q807" s="1"/>
  <c r="H808"/>
  <c r="Q808" s="1"/>
  <c r="H794"/>
  <c r="Q794" s="1"/>
  <c r="H795"/>
  <c r="Q795" s="1"/>
  <c r="H796"/>
  <c r="Q796" s="1"/>
  <c r="H797"/>
  <c r="Q797" s="1"/>
  <c r="H798"/>
  <c r="Q798" s="1"/>
  <c r="H799"/>
  <c r="H800"/>
  <c r="Q800" s="1"/>
  <c r="H801"/>
  <c r="Q801" s="1"/>
  <c r="H802"/>
  <c r="Q802" s="1"/>
  <c r="H803"/>
  <c r="Q803" s="1"/>
  <c r="H788"/>
  <c r="Q788" s="1"/>
  <c r="H789"/>
  <c r="Q789" s="1"/>
  <c r="H790"/>
  <c r="Q790" s="1"/>
  <c r="H791"/>
  <c r="Q791" s="1"/>
  <c r="H792"/>
  <c r="Q792" s="1"/>
  <c r="H793"/>
  <c r="Q793" s="1"/>
  <c r="H785"/>
  <c r="O939"/>
  <c r="O820"/>
  <c r="R1043"/>
  <c r="Q1043"/>
  <c r="P1043"/>
  <c r="O1043"/>
  <c r="N1043"/>
  <c r="M1043"/>
  <c r="L1043"/>
  <c r="K1043"/>
  <c r="J1043"/>
  <c r="I1043"/>
  <c r="G1043"/>
  <c r="F1043"/>
  <c r="H1042"/>
  <c r="S1042" s="1"/>
  <c r="H1041"/>
  <c r="S1041" s="1"/>
  <c r="H1040"/>
  <c r="S1040" s="1"/>
  <c r="H1039"/>
  <c r="S1039" s="1"/>
  <c r="H1037"/>
  <c r="S1037" s="1"/>
  <c r="H1036"/>
  <c r="S1036" s="1"/>
  <c r="H1035"/>
  <c r="S1035" s="1"/>
  <c r="H1034"/>
  <c r="S1034" s="1"/>
  <c r="H1033"/>
  <c r="S1033" s="1"/>
  <c r="H1032"/>
  <c r="S1032" s="1"/>
  <c r="H1031"/>
  <c r="S1031" s="1"/>
  <c r="H1030"/>
  <c r="S1030" s="1"/>
  <c r="H1029"/>
  <c r="S1029" s="1"/>
  <c r="H1028"/>
  <c r="S1028" s="1"/>
  <c r="H1027"/>
  <c r="S1027" s="1"/>
  <c r="H1026"/>
  <c r="S1026" s="1"/>
  <c r="H1025"/>
  <c r="S1025" s="1"/>
  <c r="H1024"/>
  <c r="S1024" s="1"/>
  <c r="H1023"/>
  <c r="S1023" s="1"/>
  <c r="H1022"/>
  <c r="S1022" s="1"/>
  <c r="H1021"/>
  <c r="S1021" s="1"/>
  <c r="H1020"/>
  <c r="S1020" s="1"/>
  <c r="H1019"/>
  <c r="S1019" s="1"/>
  <c r="M841"/>
  <c r="K841"/>
  <c r="O416"/>
  <c r="N416"/>
  <c r="L416"/>
  <c r="O375"/>
  <c r="N375"/>
  <c r="M375"/>
  <c r="L375"/>
  <c r="L68"/>
  <c r="L52"/>
  <c r="L42"/>
  <c r="L25"/>
  <c r="R709"/>
  <c r="Q729"/>
  <c r="P729"/>
  <c r="N729"/>
  <c r="M729"/>
  <c r="L729"/>
  <c r="L656"/>
  <c r="L650"/>
  <c r="L645"/>
  <c r="N638"/>
  <c r="M638"/>
  <c r="L638"/>
  <c r="L633"/>
  <c r="L629"/>
  <c r="L619"/>
  <c r="L615"/>
  <c r="L590"/>
  <c r="L587"/>
  <c r="L572"/>
  <c r="I1100"/>
  <c r="I1017"/>
  <c r="I744"/>
  <c r="R1187"/>
  <c r="Q1187"/>
  <c r="P1187"/>
  <c r="N1187"/>
  <c r="L1187"/>
  <c r="J1187"/>
  <c r="R1177"/>
  <c r="P1177"/>
  <c r="N1177"/>
  <c r="L1177"/>
  <c r="J1177"/>
  <c r="S978" l="1"/>
  <c r="H967"/>
  <c r="S967" s="1"/>
  <c r="H964"/>
  <c r="S964" s="1"/>
  <c r="H987"/>
  <c r="Q987" s="1"/>
  <c r="L634"/>
  <c r="H416"/>
  <c r="S416" s="1"/>
  <c r="H841"/>
  <c r="S841" s="1"/>
  <c r="H1043"/>
  <c r="S1043"/>
  <c r="R1139"/>
  <c r="Q1139"/>
  <c r="P1139"/>
  <c r="O1139"/>
  <c r="N1139"/>
  <c r="M1139"/>
  <c r="L1139"/>
  <c r="R1126"/>
  <c r="Q1126"/>
  <c r="P1126"/>
  <c r="N1126"/>
  <c r="M1126"/>
  <c r="L1126"/>
  <c r="I1126"/>
  <c r="R1116"/>
  <c r="P1116"/>
  <c r="R1108"/>
  <c r="P1108"/>
  <c r="N1108"/>
  <c r="L1108"/>
  <c r="J1108"/>
  <c r="I1108"/>
  <c r="R1084"/>
  <c r="P1084"/>
  <c r="R1058"/>
  <c r="P1058"/>
  <c r="O1058"/>
  <c r="N1058"/>
  <c r="L1058"/>
  <c r="J1058"/>
  <c r="R1017"/>
  <c r="Q1017"/>
  <c r="P1017"/>
  <c r="N1017"/>
  <c r="L1017"/>
  <c r="F1017"/>
  <c r="G1017"/>
  <c r="P759"/>
  <c r="O759"/>
  <c r="N759"/>
  <c r="L759"/>
  <c r="G759"/>
  <c r="F759"/>
  <c r="R744"/>
  <c r="P744"/>
  <c r="N744"/>
  <c r="L744"/>
  <c r="J744"/>
  <c r="R729"/>
  <c r="F729"/>
  <c r="G729"/>
  <c r="J729"/>
  <c r="P550" l="1"/>
  <c r="P524"/>
  <c r="R524"/>
  <c r="P590"/>
  <c r="P587"/>
  <c r="Q641"/>
  <c r="R641"/>
  <c r="R645"/>
  <c r="P650"/>
  <c r="Q650"/>
  <c r="Q638"/>
  <c r="P638"/>
  <c r="P629" l="1"/>
  <c r="P619"/>
  <c r="P615"/>
  <c r="P611"/>
  <c r="P572"/>
  <c r="P432"/>
  <c r="P421"/>
  <c r="P409"/>
  <c r="R695"/>
  <c r="Q695"/>
  <c r="P695"/>
  <c r="O695"/>
  <c r="N695"/>
  <c r="M695"/>
  <c r="L695"/>
  <c r="J695"/>
  <c r="I695"/>
  <c r="F695"/>
  <c r="R688"/>
  <c r="O688"/>
  <c r="N688"/>
  <c r="L688"/>
  <c r="J688"/>
  <c r="G688"/>
  <c r="F688"/>
  <c r="O645"/>
  <c r="Q645"/>
  <c r="P645"/>
  <c r="N645"/>
  <c r="J645"/>
  <c r="I645"/>
  <c r="G645"/>
  <c r="F645"/>
  <c r="R629"/>
  <c r="Q629"/>
  <c r="N629"/>
  <c r="O629"/>
  <c r="J629"/>
  <c r="I629"/>
  <c r="G629"/>
  <c r="F629"/>
  <c r="R550"/>
  <c r="Q550"/>
  <c r="O550"/>
  <c r="N550"/>
  <c r="L550"/>
  <c r="I550"/>
  <c r="G550"/>
  <c r="F550"/>
  <c r="R538"/>
  <c r="O538"/>
  <c r="N538"/>
  <c r="M538"/>
  <c r="L538"/>
  <c r="G538"/>
  <c r="F538"/>
  <c r="L524"/>
  <c r="R398"/>
  <c r="O398"/>
  <c r="N398"/>
  <c r="R381"/>
  <c r="R382" s="1"/>
  <c r="Q381"/>
  <c r="Q382" s="1"/>
  <c r="P381"/>
  <c r="P382" s="1"/>
  <c r="N381"/>
  <c r="N382" s="1"/>
  <c r="M381"/>
  <c r="M382" s="1"/>
  <c r="L381"/>
  <c r="L382" s="1"/>
  <c r="J381"/>
  <c r="J382" s="1"/>
  <c r="R369"/>
  <c r="Q369"/>
  <c r="P369"/>
  <c r="R332"/>
  <c r="Q332"/>
  <c r="P332"/>
  <c r="O332"/>
  <c r="L332"/>
  <c r="R309"/>
  <c r="P309"/>
  <c r="N309"/>
  <c r="M309"/>
  <c r="J309"/>
  <c r="G309"/>
  <c r="F309"/>
  <c r="F299"/>
  <c r="G299"/>
  <c r="I299"/>
  <c r="J299"/>
  <c r="K299"/>
  <c r="L299"/>
  <c r="N299"/>
  <c r="O299"/>
  <c r="P299"/>
  <c r="R299"/>
  <c r="R284"/>
  <c r="Q284"/>
  <c r="P284"/>
  <c r="O284"/>
  <c r="N284"/>
  <c r="F266"/>
  <c r="G266"/>
  <c r="I266"/>
  <c r="L266"/>
  <c r="M266"/>
  <c r="N266"/>
  <c r="P266"/>
  <c r="Q266"/>
  <c r="R266"/>
  <c r="R261"/>
  <c r="Q261"/>
  <c r="P261"/>
  <c r="O261"/>
  <c r="M261"/>
  <c r="L261"/>
  <c r="K261"/>
  <c r="G261"/>
  <c r="F261"/>
  <c r="L233"/>
  <c r="N233"/>
  <c r="R233"/>
  <c r="Q233"/>
  <c r="P233"/>
  <c r="R241"/>
  <c r="Q241"/>
  <c r="P241"/>
  <c r="N241"/>
  <c r="M241"/>
  <c r="L241"/>
  <c r="N261"/>
  <c r="G241"/>
  <c r="F241"/>
  <c r="P68"/>
  <c r="R317"/>
  <c r="P317"/>
  <c r="N317"/>
  <c r="L317"/>
  <c r="K317"/>
  <c r="J317"/>
  <c r="J320"/>
  <c r="R320"/>
  <c r="P320"/>
  <c r="O320"/>
  <c r="N320"/>
  <c r="M320"/>
  <c r="L320"/>
  <c r="G218"/>
  <c r="N524"/>
  <c r="G524"/>
  <c r="F524"/>
  <c r="R432"/>
  <c r="O432"/>
  <c r="G432"/>
  <c r="F432"/>
  <c r="R421"/>
  <c r="Q421"/>
  <c r="L421"/>
  <c r="J421"/>
  <c r="G421"/>
  <c r="F421"/>
  <c r="R409"/>
  <c r="Q409"/>
  <c r="O409"/>
  <c r="N409"/>
  <c r="M409"/>
  <c r="L409"/>
  <c r="J409"/>
  <c r="I409"/>
  <c r="G409"/>
  <c r="F409"/>
  <c r="M398"/>
  <c r="L398"/>
  <c r="J398"/>
  <c r="I398"/>
  <c r="G398"/>
  <c r="F398"/>
  <c r="O1168"/>
  <c r="O1166"/>
  <c r="O1165"/>
  <c r="O1164"/>
  <c r="H1169"/>
  <c r="Q1169" s="1"/>
  <c r="I1162"/>
  <c r="I1161"/>
  <c r="I1160"/>
  <c r="I1159"/>
  <c r="I1158"/>
  <c r="I1157"/>
  <c r="I1156"/>
  <c r="O1160"/>
  <c r="O1158"/>
  <c r="O1157"/>
  <c r="H1057"/>
  <c r="Q1057" s="1"/>
  <c r="H691"/>
  <c r="S691" s="1"/>
  <c r="H434"/>
  <c r="S434" s="1"/>
  <c r="H438"/>
  <c r="S438" s="1"/>
  <c r="H437"/>
  <c r="S437" s="1"/>
  <c r="H436"/>
  <c r="S436" s="1"/>
  <c r="H435"/>
  <c r="S435" s="1"/>
  <c r="K758"/>
  <c r="I758"/>
  <c r="I757"/>
  <c r="K757"/>
  <c r="J751"/>
  <c r="J759" s="1"/>
  <c r="I747"/>
  <c r="K747"/>
  <c r="K412"/>
  <c r="H412" s="1"/>
  <c r="H411"/>
  <c r="S411" s="1"/>
  <c r="S709"/>
  <c r="P709"/>
  <c r="O709"/>
  <c r="J709"/>
  <c r="L709"/>
  <c r="F709"/>
  <c r="G709"/>
  <c r="H699"/>
  <c r="Q699" s="1"/>
  <c r="N709"/>
  <c r="A699"/>
  <c r="A700" s="1"/>
  <c r="A701" s="1"/>
  <c r="A702" s="1"/>
  <c r="A703" s="1"/>
  <c r="A704" s="1"/>
  <c r="A705" s="1"/>
  <c r="A706" s="1"/>
  <c r="A707" s="1"/>
  <c r="A708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6" s="1"/>
  <c r="H1046"/>
  <c r="Q1046" s="1"/>
  <c r="F1084"/>
  <c r="G1084"/>
  <c r="O1090"/>
  <c r="G1116"/>
  <c r="F1116"/>
  <c r="G1126"/>
  <c r="F1126"/>
  <c r="G1177"/>
  <c r="F1177"/>
  <c r="G1139"/>
  <c r="F1139"/>
  <c r="R1145"/>
  <c r="Q1145"/>
  <c r="P1145"/>
  <c r="O1145"/>
  <c r="N1145"/>
  <c r="M1145"/>
  <c r="L1145"/>
  <c r="J1145"/>
  <c r="I1145"/>
  <c r="G1145"/>
  <c r="F1145"/>
  <c r="G1153"/>
  <c r="G1154" s="1"/>
  <c r="F1153"/>
  <c r="F1154" s="1"/>
  <c r="G1187"/>
  <c r="F1187"/>
  <c r="R1097"/>
  <c r="P1097"/>
  <c r="N1097"/>
  <c r="M1097"/>
  <c r="L1097"/>
  <c r="J1097"/>
  <c r="I1095"/>
  <c r="H1095" s="1"/>
  <c r="S1095" s="1"/>
  <c r="I1094"/>
  <c r="H1094" s="1"/>
  <c r="S1094" s="1"/>
  <c r="I1093"/>
  <c r="H1093" s="1"/>
  <c r="G1090"/>
  <c r="F1090"/>
  <c r="N1114"/>
  <c r="L1114"/>
  <c r="L1115" s="1"/>
  <c r="J1114"/>
  <c r="I1114"/>
  <c r="O1114"/>
  <c r="Q1114" s="1"/>
  <c r="G1061"/>
  <c r="F1061"/>
  <c r="H1055"/>
  <c r="Q1055" s="1"/>
  <c r="H1054"/>
  <c r="Q1054" s="1"/>
  <c r="H1053"/>
  <c r="Q1053" s="1"/>
  <c r="H1052"/>
  <c r="Q1052" s="1"/>
  <c r="H1051"/>
  <c r="Q1051" s="1"/>
  <c r="H1050"/>
  <c r="Q1050" s="1"/>
  <c r="H1049"/>
  <c r="Q1049" s="1"/>
  <c r="H1048"/>
  <c r="R1010"/>
  <c r="G1058"/>
  <c r="F1058"/>
  <c r="H1047"/>
  <c r="Q1047" s="1"/>
  <c r="L1010"/>
  <c r="P1010"/>
  <c r="N1010"/>
  <c r="H728"/>
  <c r="S728" s="1"/>
  <c r="O725"/>
  <c r="O729" s="1"/>
  <c r="H716"/>
  <c r="S716" s="1"/>
  <c r="H1016"/>
  <c r="H1009"/>
  <c r="Q1009" s="1"/>
  <c r="O1002"/>
  <c r="H1001"/>
  <c r="Q1001" s="1"/>
  <c r="Q1000"/>
  <c r="H999"/>
  <c r="Q999" s="1"/>
  <c r="Q998"/>
  <c r="H997"/>
  <c r="Q997" s="1"/>
  <c r="Q996"/>
  <c r="H995"/>
  <c r="Q994"/>
  <c r="H1008"/>
  <c r="Q1008" s="1"/>
  <c r="K1004"/>
  <c r="H1004" s="1"/>
  <c r="S1004" s="1"/>
  <c r="M746"/>
  <c r="H753"/>
  <c r="H752"/>
  <c r="H748"/>
  <c r="K749"/>
  <c r="I749"/>
  <c r="K750"/>
  <c r="I750"/>
  <c r="I1133"/>
  <c r="I1139" s="1"/>
  <c r="K1134"/>
  <c r="K1144"/>
  <c r="K1145" s="1"/>
  <c r="H770"/>
  <c r="S770" s="1"/>
  <c r="H772"/>
  <c r="S772" s="1"/>
  <c r="H774"/>
  <c r="S774" s="1"/>
  <c r="H773"/>
  <c r="S773" s="1"/>
  <c r="O895"/>
  <c r="H515"/>
  <c r="S515" s="1"/>
  <c r="H938"/>
  <c r="S938" s="1"/>
  <c r="I780"/>
  <c r="Q780" s="1"/>
  <c r="H1066"/>
  <c r="S1066" s="1"/>
  <c r="H1065"/>
  <c r="S1065" s="1"/>
  <c r="H1064"/>
  <c r="M732"/>
  <c r="O638"/>
  <c r="G638"/>
  <c r="F638"/>
  <c r="O1183"/>
  <c r="O1182"/>
  <c r="M1184"/>
  <c r="M1183"/>
  <c r="K1182"/>
  <c r="K1183"/>
  <c r="K1184"/>
  <c r="R1153"/>
  <c r="R1154" s="1"/>
  <c r="I1181"/>
  <c r="M1176"/>
  <c r="H1176" s="1"/>
  <c r="S1176" s="1"/>
  <c r="M1175"/>
  <c r="H1175" s="1"/>
  <c r="S1175" s="1"/>
  <c r="I1174"/>
  <c r="H1174" s="1"/>
  <c r="S1174" s="1"/>
  <c r="I1173"/>
  <c r="H1173" s="1"/>
  <c r="S1173" s="1"/>
  <c r="I1172"/>
  <c r="H1172" s="1"/>
  <c r="S1172" s="1"/>
  <c r="I1171"/>
  <c r="H1171" s="1"/>
  <c r="S1171" s="1"/>
  <c r="I1170"/>
  <c r="H1170" s="1"/>
  <c r="S1170" s="1"/>
  <c r="Q1153"/>
  <c r="Q1154" s="1"/>
  <c r="P1153"/>
  <c r="P1154" s="1"/>
  <c r="L1153"/>
  <c r="L1154" s="1"/>
  <c r="J1153"/>
  <c r="J1154" s="1"/>
  <c r="I1153"/>
  <c r="I1154" s="1"/>
  <c r="O1152"/>
  <c r="O1153" s="1"/>
  <c r="O1154" s="1"/>
  <c r="N1152"/>
  <c r="N1153" s="1"/>
  <c r="N1154" s="1"/>
  <c r="M1152"/>
  <c r="M1153" s="1"/>
  <c r="M1154" s="1"/>
  <c r="K1151"/>
  <c r="K1150"/>
  <c r="H1150" s="1"/>
  <c r="S1150" s="1"/>
  <c r="K1149"/>
  <c r="H1149" s="1"/>
  <c r="S1149" s="1"/>
  <c r="K1138"/>
  <c r="H1138" s="1"/>
  <c r="S1138" s="1"/>
  <c r="K1137"/>
  <c r="H1137" s="1"/>
  <c r="J1135"/>
  <c r="J1139" s="1"/>
  <c r="R1131"/>
  <c r="Q1131"/>
  <c r="P1131"/>
  <c r="O1131"/>
  <c r="N1131"/>
  <c r="M1131"/>
  <c r="L1131"/>
  <c r="K1131"/>
  <c r="J1131"/>
  <c r="G1131"/>
  <c r="F1131"/>
  <c r="I1130"/>
  <c r="H1130" s="1"/>
  <c r="S1130" s="1"/>
  <c r="I1129"/>
  <c r="H1129" s="1"/>
  <c r="I1128"/>
  <c r="H1128" s="1"/>
  <c r="S1128" s="1"/>
  <c r="K1124"/>
  <c r="O1123"/>
  <c r="O1126" s="1"/>
  <c r="J1123"/>
  <c r="K1120"/>
  <c r="K1121" s="1"/>
  <c r="K1106"/>
  <c r="H1106" s="1"/>
  <c r="S1106" s="1"/>
  <c r="K1105"/>
  <c r="H1105" s="1"/>
  <c r="S1105" s="1"/>
  <c r="K1104"/>
  <c r="H1104" s="1"/>
  <c r="S1104" s="1"/>
  <c r="K1103"/>
  <c r="R1100"/>
  <c r="Q1100"/>
  <c r="Q1109" s="1"/>
  <c r="P1100"/>
  <c r="O1100"/>
  <c r="N1100"/>
  <c r="M1100"/>
  <c r="L1100"/>
  <c r="J1100"/>
  <c r="G1100"/>
  <c r="F1100"/>
  <c r="K1099"/>
  <c r="K1100" s="1"/>
  <c r="R1090"/>
  <c r="Q1090"/>
  <c r="P1090"/>
  <c r="L1090"/>
  <c r="J1090"/>
  <c r="N1088"/>
  <c r="M1088"/>
  <c r="K1088"/>
  <c r="I1088"/>
  <c r="N1087"/>
  <c r="M1087"/>
  <c r="K1086"/>
  <c r="I1086"/>
  <c r="K1078"/>
  <c r="H1078" s="1"/>
  <c r="S1078" s="1"/>
  <c r="K1083"/>
  <c r="H1083" s="1"/>
  <c r="S1083" s="1"/>
  <c r="O1068"/>
  <c r="K1068"/>
  <c r="O1079"/>
  <c r="K1079"/>
  <c r="I1079"/>
  <c r="M1075"/>
  <c r="H1075" s="1"/>
  <c r="S1075" s="1"/>
  <c r="K1080"/>
  <c r="H1080" s="1"/>
  <c r="S1080" s="1"/>
  <c r="O1082"/>
  <c r="M1082"/>
  <c r="K1082"/>
  <c r="I1082"/>
  <c r="K1081"/>
  <c r="H1081" s="1"/>
  <c r="S1081" s="1"/>
  <c r="I1077"/>
  <c r="H1077" s="1"/>
  <c r="S1077" s="1"/>
  <c r="I1076"/>
  <c r="H1076" s="1"/>
  <c r="S1076" s="1"/>
  <c r="O1067"/>
  <c r="K1067"/>
  <c r="I1074"/>
  <c r="J1073"/>
  <c r="H1073" s="1"/>
  <c r="S1073" s="1"/>
  <c r="J1072"/>
  <c r="H1072" s="1"/>
  <c r="S1072" s="1"/>
  <c r="J1071"/>
  <c r="H1071" s="1"/>
  <c r="S1071" s="1"/>
  <c r="J1070"/>
  <c r="H1070" s="1"/>
  <c r="S1070" s="1"/>
  <c r="J1069"/>
  <c r="R1061"/>
  <c r="Q1061"/>
  <c r="P1061"/>
  <c r="O1061"/>
  <c r="N1061"/>
  <c r="L1061"/>
  <c r="K1061"/>
  <c r="J1061"/>
  <c r="I1061"/>
  <c r="M1060"/>
  <c r="H1060" s="1"/>
  <c r="I1056"/>
  <c r="I1058" s="1"/>
  <c r="K1045"/>
  <c r="K1058" s="1"/>
  <c r="M1015"/>
  <c r="M1017" s="1"/>
  <c r="K1014"/>
  <c r="H1014" s="1"/>
  <c r="S1014" s="1"/>
  <c r="O1013"/>
  <c r="O1017" s="1"/>
  <c r="K1002"/>
  <c r="M941"/>
  <c r="K940"/>
  <c r="H940" s="1"/>
  <c r="S940" s="1"/>
  <c r="H939"/>
  <c r="S939" s="1"/>
  <c r="K937"/>
  <c r="H937" s="1"/>
  <c r="S937" s="1"/>
  <c r="K936"/>
  <c r="H936" s="1"/>
  <c r="S936" s="1"/>
  <c r="K934"/>
  <c r="H934" s="1"/>
  <c r="S934" s="1"/>
  <c r="H933"/>
  <c r="S933" s="1"/>
  <c r="K932"/>
  <c r="H932" s="1"/>
  <c r="S932" s="1"/>
  <c r="K924"/>
  <c r="H924" s="1"/>
  <c r="S924" s="1"/>
  <c r="K918"/>
  <c r="H918" s="1"/>
  <c r="S918" s="1"/>
  <c r="O917"/>
  <c r="K917"/>
  <c r="I917"/>
  <c r="M916"/>
  <c r="K916"/>
  <c r="O916" s="1"/>
  <c r="O911"/>
  <c r="K911"/>
  <c r="I911"/>
  <c r="K909"/>
  <c r="H909" s="1"/>
  <c r="S909" s="1"/>
  <c r="K904"/>
  <c r="H904" s="1"/>
  <c r="S904" s="1"/>
  <c r="K903"/>
  <c r="H903" s="1"/>
  <c r="S903" s="1"/>
  <c r="K902"/>
  <c r="O902" s="1"/>
  <c r="K900"/>
  <c r="H900" s="1"/>
  <c r="S900" s="1"/>
  <c r="O898"/>
  <c r="N898"/>
  <c r="M898"/>
  <c r="L898"/>
  <c r="K898"/>
  <c r="N897"/>
  <c r="M897"/>
  <c r="L897"/>
  <c r="K896"/>
  <c r="H896" s="1"/>
  <c r="S896" s="1"/>
  <c r="K895"/>
  <c r="K894"/>
  <c r="H894" s="1"/>
  <c r="S894" s="1"/>
  <c r="O893"/>
  <c r="K893"/>
  <c r="K892"/>
  <c r="H892" s="1"/>
  <c r="S892" s="1"/>
  <c r="I881"/>
  <c r="K880"/>
  <c r="H880" s="1"/>
  <c r="S880" s="1"/>
  <c r="K878"/>
  <c r="H878" s="1"/>
  <c r="S878" s="1"/>
  <c r="H869"/>
  <c r="S869" s="1"/>
  <c r="I868"/>
  <c r="H868" s="1"/>
  <c r="S868" s="1"/>
  <c r="K862"/>
  <c r="H862" s="1"/>
  <c r="S862" s="1"/>
  <c r="K861"/>
  <c r="H861" s="1"/>
  <c r="S861" s="1"/>
  <c r="K820"/>
  <c r="H820" s="1"/>
  <c r="S820" s="1"/>
  <c r="K813"/>
  <c r="H813" s="1"/>
  <c r="S813" s="1"/>
  <c r="H810"/>
  <c r="S810" s="1"/>
  <c r="K809"/>
  <c r="H809" s="1"/>
  <c r="S809" s="1"/>
  <c r="K787"/>
  <c r="H742"/>
  <c r="S742" s="1"/>
  <c r="H741"/>
  <c r="S741" s="1"/>
  <c r="K740"/>
  <c r="H740" s="1"/>
  <c r="S740" s="1"/>
  <c r="K739"/>
  <c r="H739" s="1"/>
  <c r="S739" s="1"/>
  <c r="K738"/>
  <c r="H738" s="1"/>
  <c r="S738" s="1"/>
  <c r="K737"/>
  <c r="H737" s="1"/>
  <c r="S737" s="1"/>
  <c r="K731"/>
  <c r="H736"/>
  <c r="S736" s="1"/>
  <c r="H735"/>
  <c r="S735" s="1"/>
  <c r="H734"/>
  <c r="S734" s="1"/>
  <c r="H733"/>
  <c r="S733" s="1"/>
  <c r="K717"/>
  <c r="H717" s="1"/>
  <c r="S717" s="1"/>
  <c r="K727"/>
  <c r="H727" s="1"/>
  <c r="S727" s="1"/>
  <c r="K726"/>
  <c r="H726" s="1"/>
  <c r="S726" s="1"/>
  <c r="K724"/>
  <c r="H724" s="1"/>
  <c r="S724" s="1"/>
  <c r="K723"/>
  <c r="H723" s="1"/>
  <c r="S723" s="1"/>
  <c r="K722"/>
  <c r="H722" s="1"/>
  <c r="S722" s="1"/>
  <c r="K721"/>
  <c r="H721" s="1"/>
  <c r="S721" s="1"/>
  <c r="I720"/>
  <c r="H720" s="1"/>
  <c r="S720" s="1"/>
  <c r="K719"/>
  <c r="H719" s="1"/>
  <c r="S719" s="1"/>
  <c r="I718"/>
  <c r="K715"/>
  <c r="H715" s="1"/>
  <c r="S715" s="1"/>
  <c r="K714"/>
  <c r="H714" s="1"/>
  <c r="S714" s="1"/>
  <c r="K713"/>
  <c r="H713" s="1"/>
  <c r="S713" s="1"/>
  <c r="K712"/>
  <c r="H712" s="1"/>
  <c r="S712" s="1"/>
  <c r="G694"/>
  <c r="K694" s="1"/>
  <c r="H694" s="1"/>
  <c r="S694" s="1"/>
  <c r="H1180"/>
  <c r="H693"/>
  <c r="S693" s="1"/>
  <c r="K692"/>
  <c r="K687"/>
  <c r="H687" s="1"/>
  <c r="Q687" s="1"/>
  <c r="K686"/>
  <c r="H686" s="1"/>
  <c r="K685"/>
  <c r="H685" s="1"/>
  <c r="P685" s="1"/>
  <c r="K684"/>
  <c r="H684" s="1"/>
  <c r="H683"/>
  <c r="P683" s="1"/>
  <c r="H682"/>
  <c r="Q682" s="1"/>
  <c r="H681"/>
  <c r="P681" s="1"/>
  <c r="H680"/>
  <c r="P680" s="1"/>
  <c r="H679"/>
  <c r="Q679" s="1"/>
  <c r="M678"/>
  <c r="H678" s="1"/>
  <c r="S678" s="1"/>
  <c r="M677"/>
  <c r="K677"/>
  <c r="I677"/>
  <c r="M676"/>
  <c r="K676"/>
  <c r="M675"/>
  <c r="K675"/>
  <c r="I675"/>
  <c r="I674"/>
  <c r="H674" s="1"/>
  <c r="S674" s="1"/>
  <c r="I673"/>
  <c r="H673" s="1"/>
  <c r="S673" s="1"/>
  <c r="I672"/>
  <c r="H672" s="1"/>
  <c r="S672" s="1"/>
  <c r="K671"/>
  <c r="H671" s="1"/>
  <c r="S671" s="1"/>
  <c r="M670"/>
  <c r="H670" s="1"/>
  <c r="S670" s="1"/>
  <c r="R667"/>
  <c r="Q667"/>
  <c r="P667"/>
  <c r="N667"/>
  <c r="M667"/>
  <c r="L667"/>
  <c r="K667"/>
  <c r="J667"/>
  <c r="G667"/>
  <c r="F667"/>
  <c r="I666"/>
  <c r="O666" s="1"/>
  <c r="O667" s="1"/>
  <c r="R664"/>
  <c r="Q664"/>
  <c r="P664"/>
  <c r="O664"/>
  <c r="N664"/>
  <c r="M664"/>
  <c r="L664"/>
  <c r="K664"/>
  <c r="I664"/>
  <c r="G664"/>
  <c r="G668" s="1"/>
  <c r="F664"/>
  <c r="J663"/>
  <c r="J664" s="1"/>
  <c r="R659"/>
  <c r="Q659"/>
  <c r="P659"/>
  <c r="O659"/>
  <c r="N659"/>
  <c r="M659"/>
  <c r="L659"/>
  <c r="J659"/>
  <c r="I659"/>
  <c r="G659"/>
  <c r="F659"/>
  <c r="K658"/>
  <c r="K659" s="1"/>
  <c r="K637"/>
  <c r="R656"/>
  <c r="Q656"/>
  <c r="P656"/>
  <c r="O656"/>
  <c r="N656"/>
  <c r="M656"/>
  <c r="G656"/>
  <c r="F656"/>
  <c r="I656"/>
  <c r="H655"/>
  <c r="S655" s="1"/>
  <c r="K654"/>
  <c r="H654" s="1"/>
  <c r="S654" s="1"/>
  <c r="K653"/>
  <c r="J652"/>
  <c r="J656" s="1"/>
  <c r="R650"/>
  <c r="O650"/>
  <c r="N650"/>
  <c r="M650"/>
  <c r="K650"/>
  <c r="J650"/>
  <c r="G650"/>
  <c r="F650"/>
  <c r="I649"/>
  <c r="H649" s="1"/>
  <c r="S649" s="1"/>
  <c r="I648"/>
  <c r="H648" s="1"/>
  <c r="I647"/>
  <c r="H647" s="1"/>
  <c r="S647" s="1"/>
  <c r="K1125"/>
  <c r="M644"/>
  <c r="H644" s="1"/>
  <c r="S644" s="1"/>
  <c r="K643"/>
  <c r="P641"/>
  <c r="O641"/>
  <c r="N641"/>
  <c r="M641"/>
  <c r="L641"/>
  <c r="J641"/>
  <c r="I641"/>
  <c r="G641"/>
  <c r="F641"/>
  <c r="K640"/>
  <c r="H640" s="1"/>
  <c r="S640" s="1"/>
  <c r="S641" s="1"/>
  <c r="R1142"/>
  <c r="Q1142"/>
  <c r="P1142"/>
  <c r="O1142"/>
  <c r="N1142"/>
  <c r="M1142"/>
  <c r="L1142"/>
  <c r="J1142"/>
  <c r="I1142"/>
  <c r="G1142"/>
  <c r="F1142"/>
  <c r="K1141"/>
  <c r="K1142" s="1"/>
  <c r="S633"/>
  <c r="R633"/>
  <c r="Q633"/>
  <c r="P633"/>
  <c r="O633"/>
  <c r="N633"/>
  <c r="M633"/>
  <c r="K633"/>
  <c r="J633"/>
  <c r="G633"/>
  <c r="F633"/>
  <c r="I632"/>
  <c r="H632" s="1"/>
  <c r="I631"/>
  <c r="H631" s="1"/>
  <c r="M1102"/>
  <c r="M1108" s="1"/>
  <c r="M628"/>
  <c r="H628" s="1"/>
  <c r="K627"/>
  <c r="H627" s="1"/>
  <c r="S627" s="1"/>
  <c r="M626"/>
  <c r="H626" s="1"/>
  <c r="S626" s="1"/>
  <c r="K625"/>
  <c r="H625" s="1"/>
  <c r="S625" s="1"/>
  <c r="K624"/>
  <c r="H624" s="1"/>
  <c r="S624" s="1"/>
  <c r="K623"/>
  <c r="H623" s="1"/>
  <c r="S623" s="1"/>
  <c r="K622"/>
  <c r="H622" s="1"/>
  <c r="S622" s="1"/>
  <c r="K621"/>
  <c r="R619"/>
  <c r="Q619"/>
  <c r="O619"/>
  <c r="N619"/>
  <c r="M619"/>
  <c r="J619"/>
  <c r="I619"/>
  <c r="G619"/>
  <c r="F619"/>
  <c r="K618"/>
  <c r="H618" s="1"/>
  <c r="S618" s="1"/>
  <c r="S619" s="1"/>
  <c r="R615"/>
  <c r="Q615"/>
  <c r="O615"/>
  <c r="J615"/>
  <c r="I615"/>
  <c r="G615"/>
  <c r="F615"/>
  <c r="N614"/>
  <c r="M614"/>
  <c r="K614"/>
  <c r="K615" s="1"/>
  <c r="N613"/>
  <c r="M613"/>
  <c r="R611"/>
  <c r="Q611"/>
  <c r="N611"/>
  <c r="F611"/>
  <c r="M610"/>
  <c r="M609"/>
  <c r="H609" s="1"/>
  <c r="S609" s="1"/>
  <c r="M608"/>
  <c r="H608" s="1"/>
  <c r="S608" s="1"/>
  <c r="I607"/>
  <c r="H607" s="1"/>
  <c r="S607" s="1"/>
  <c r="K606"/>
  <c r="H606" s="1"/>
  <c r="S606" s="1"/>
  <c r="L605"/>
  <c r="L611" s="1"/>
  <c r="I605"/>
  <c r="G604"/>
  <c r="I604" s="1"/>
  <c r="H604" s="1"/>
  <c r="S604" s="1"/>
  <c r="I603"/>
  <c r="H603" s="1"/>
  <c r="S603" s="1"/>
  <c r="I602"/>
  <c r="H602" s="1"/>
  <c r="S602" s="1"/>
  <c r="O601"/>
  <c r="O611" s="1"/>
  <c r="J601"/>
  <c r="I601"/>
  <c r="I600"/>
  <c r="H600" s="1"/>
  <c r="S600" s="1"/>
  <c r="G599"/>
  <c r="G598"/>
  <c r="K598" s="1"/>
  <c r="J597"/>
  <c r="H597" s="1"/>
  <c r="S597" s="1"/>
  <c r="J596"/>
  <c r="H596" s="1"/>
  <c r="S596" s="1"/>
  <c r="G596"/>
  <c r="J595"/>
  <c r="H595" s="1"/>
  <c r="S595" s="1"/>
  <c r="J594"/>
  <c r="H594" s="1"/>
  <c r="S594" s="1"/>
  <c r="J593"/>
  <c r="H593" s="1"/>
  <c r="S593" s="1"/>
  <c r="J592"/>
  <c r="H592" s="1"/>
  <c r="S592" s="1"/>
  <c r="R590"/>
  <c r="Q590"/>
  <c r="O590"/>
  <c r="N590"/>
  <c r="K590"/>
  <c r="J590"/>
  <c r="I590"/>
  <c r="G590"/>
  <c r="F590"/>
  <c r="M589"/>
  <c r="M590" s="1"/>
  <c r="R587"/>
  <c r="Q587"/>
  <c r="N587"/>
  <c r="M587"/>
  <c r="J587"/>
  <c r="G587"/>
  <c r="F587"/>
  <c r="I586"/>
  <c r="H586" s="1"/>
  <c r="S586" s="1"/>
  <c r="I585"/>
  <c r="H585" s="1"/>
  <c r="S585" s="1"/>
  <c r="I584"/>
  <c r="H584" s="1"/>
  <c r="S584" s="1"/>
  <c r="I583"/>
  <c r="H583" s="1"/>
  <c r="S583" s="1"/>
  <c r="I582"/>
  <c r="H582" s="1"/>
  <c r="S582" s="1"/>
  <c r="I581"/>
  <c r="H581" s="1"/>
  <c r="S581" s="1"/>
  <c r="I580"/>
  <c r="H580" s="1"/>
  <c r="S580" s="1"/>
  <c r="I579"/>
  <c r="H579" s="1"/>
  <c r="S579" s="1"/>
  <c r="I578"/>
  <c r="H578" s="1"/>
  <c r="S578" s="1"/>
  <c r="I577"/>
  <c r="H577" s="1"/>
  <c r="S577" s="1"/>
  <c r="O576"/>
  <c r="I576"/>
  <c r="K575"/>
  <c r="K587" s="1"/>
  <c r="O574"/>
  <c r="I574"/>
  <c r="R572"/>
  <c r="O572"/>
  <c r="N572"/>
  <c r="K572"/>
  <c r="J572"/>
  <c r="I572"/>
  <c r="G572"/>
  <c r="F572"/>
  <c r="H571"/>
  <c r="H570"/>
  <c r="S570" s="1"/>
  <c r="H569"/>
  <c r="S569" s="1"/>
  <c r="H568"/>
  <c r="S568" s="1"/>
  <c r="H567"/>
  <c r="S567" s="1"/>
  <c r="H566"/>
  <c r="S566" s="1"/>
  <c r="H565"/>
  <c r="S565" s="1"/>
  <c r="H564"/>
  <c r="S564" s="1"/>
  <c r="H563"/>
  <c r="S563" s="1"/>
  <c r="H562"/>
  <c r="S562" s="1"/>
  <c r="H561"/>
  <c r="S561" s="1"/>
  <c r="H560"/>
  <c r="S560" s="1"/>
  <c r="H559"/>
  <c r="S559" s="1"/>
  <c r="H558"/>
  <c r="S558" s="1"/>
  <c r="M557"/>
  <c r="H557" s="1"/>
  <c r="S557" s="1"/>
  <c r="H556"/>
  <c r="S556" s="1"/>
  <c r="H555"/>
  <c r="S555" s="1"/>
  <c r="H554"/>
  <c r="S554" s="1"/>
  <c r="S553"/>
  <c r="H552"/>
  <c r="S552" s="1"/>
  <c r="K1012"/>
  <c r="H1012" s="1"/>
  <c r="M549"/>
  <c r="H549" s="1"/>
  <c r="S549" s="1"/>
  <c r="M548"/>
  <c r="H548" s="1"/>
  <c r="S548" s="1"/>
  <c r="M547"/>
  <c r="H547" s="1"/>
  <c r="S547" s="1"/>
  <c r="M546"/>
  <c r="H546" s="1"/>
  <c r="S546" s="1"/>
  <c r="K545"/>
  <c r="H545" s="1"/>
  <c r="S545" s="1"/>
  <c r="K544"/>
  <c r="H544" s="1"/>
  <c r="S544" s="1"/>
  <c r="K543"/>
  <c r="H543" s="1"/>
  <c r="S543" s="1"/>
  <c r="K542"/>
  <c r="H542" s="1"/>
  <c r="S542" s="1"/>
  <c r="J541"/>
  <c r="J550" s="1"/>
  <c r="K540"/>
  <c r="H537"/>
  <c r="Q537" s="1"/>
  <c r="H536"/>
  <c r="Q536" s="1"/>
  <c r="H535"/>
  <c r="P535" s="1"/>
  <c r="H534"/>
  <c r="P534" s="1"/>
  <c r="K533"/>
  <c r="H533" s="1"/>
  <c r="S533" s="1"/>
  <c r="J532"/>
  <c r="H532" s="1"/>
  <c r="S532" s="1"/>
  <c r="J531"/>
  <c r="H531" s="1"/>
  <c r="S531" s="1"/>
  <c r="K530"/>
  <c r="I530"/>
  <c r="K529"/>
  <c r="I529"/>
  <c r="K528"/>
  <c r="I528"/>
  <c r="K527"/>
  <c r="I527"/>
  <c r="K526"/>
  <c r="I526"/>
  <c r="I877"/>
  <c r="I764"/>
  <c r="H764" s="1"/>
  <c r="Q764" s="1"/>
  <c r="I763"/>
  <c r="H763" s="1"/>
  <c r="Q763" s="1"/>
  <c r="I762"/>
  <c r="H762" s="1"/>
  <c r="Q762" s="1"/>
  <c r="I761"/>
  <c r="I765"/>
  <c r="H765" s="1"/>
  <c r="Q765" s="1"/>
  <c r="I766"/>
  <c r="H766" s="1"/>
  <c r="Q766" s="1"/>
  <c r="H523"/>
  <c r="Q523" s="1"/>
  <c r="H522"/>
  <c r="Q522" s="1"/>
  <c r="H519"/>
  <c r="H518"/>
  <c r="H517"/>
  <c r="H516"/>
  <c r="Q516" s="1"/>
  <c r="H767"/>
  <c r="S767" s="1"/>
  <c r="H768"/>
  <c r="S768" s="1"/>
  <c r="O514"/>
  <c r="H514" s="1"/>
  <c r="Q514" s="1"/>
  <c r="H513"/>
  <c r="Q513" s="1"/>
  <c r="H512"/>
  <c r="S512" s="1"/>
  <c r="H769"/>
  <c r="S769" s="1"/>
  <c r="H511"/>
  <c r="Q511" s="1"/>
  <c r="H510"/>
  <c r="Q510" s="1"/>
  <c r="H509"/>
  <c r="Q509" s="1"/>
  <c r="H508"/>
  <c r="Q508" s="1"/>
  <c r="J507"/>
  <c r="H507" s="1"/>
  <c r="S507" s="1"/>
  <c r="O506"/>
  <c r="H506" s="1"/>
  <c r="Q506" s="1"/>
  <c r="H505"/>
  <c r="S505" s="1"/>
  <c r="H504"/>
  <c r="Q504" s="1"/>
  <c r="I503"/>
  <c r="H503" s="1"/>
  <c r="S503" s="1"/>
  <c r="H771"/>
  <c r="S771" s="1"/>
  <c r="I502"/>
  <c r="H502" s="1"/>
  <c r="S502" s="1"/>
  <c r="I501"/>
  <c r="H501" s="1"/>
  <c r="S501" s="1"/>
  <c r="H500"/>
  <c r="S500" s="1"/>
  <c r="H499"/>
  <c r="S499" s="1"/>
  <c r="H498"/>
  <c r="S498" s="1"/>
  <c r="H497"/>
  <c r="S497" s="1"/>
  <c r="H496"/>
  <c r="S496" s="1"/>
  <c r="I495"/>
  <c r="H495" s="1"/>
  <c r="S495" s="1"/>
  <c r="H494"/>
  <c r="S494" s="1"/>
  <c r="I895"/>
  <c r="I775"/>
  <c r="H775" s="1"/>
  <c r="Q775" s="1"/>
  <c r="I493"/>
  <c r="H493" s="1"/>
  <c r="S493" s="1"/>
  <c r="H776"/>
  <c r="S776" s="1"/>
  <c r="J492"/>
  <c r="H492" s="1"/>
  <c r="S492" s="1"/>
  <c r="H491"/>
  <c r="S491" s="1"/>
  <c r="H490"/>
  <c r="S490" s="1"/>
  <c r="H489"/>
  <c r="Q489" s="1"/>
  <c r="H488"/>
  <c r="Q488" s="1"/>
  <c r="M487"/>
  <c r="M524" s="1"/>
  <c r="H486"/>
  <c r="Q486" s="1"/>
  <c r="J485"/>
  <c r="H484"/>
  <c r="Q484" s="1"/>
  <c r="H483"/>
  <c r="Q483" s="1"/>
  <c r="O482"/>
  <c r="H482" s="1"/>
  <c r="Q482" s="1"/>
  <c r="H481"/>
  <c r="Q481" s="1"/>
  <c r="H480"/>
  <c r="Q480" s="1"/>
  <c r="H479"/>
  <c r="S479" s="1"/>
  <c r="H478"/>
  <c r="S478" s="1"/>
  <c r="H477"/>
  <c r="S477" s="1"/>
  <c r="H476"/>
  <c r="H475"/>
  <c r="I474"/>
  <c r="H474" s="1"/>
  <c r="S474" s="1"/>
  <c r="I473"/>
  <c r="H473" s="1"/>
  <c r="S473" s="1"/>
  <c r="H472"/>
  <c r="S472" s="1"/>
  <c r="H471"/>
  <c r="S471" s="1"/>
  <c r="H470"/>
  <c r="S470" s="1"/>
  <c r="H469"/>
  <c r="S469" s="1"/>
  <c r="H468"/>
  <c r="S468" s="1"/>
  <c r="H467"/>
  <c r="S467" s="1"/>
  <c r="H466"/>
  <c r="H465"/>
  <c r="S465" s="1"/>
  <c r="H464"/>
  <c r="H463"/>
  <c r="H462"/>
  <c r="H461"/>
  <c r="H460"/>
  <c r="H459"/>
  <c r="H777"/>
  <c r="S777" s="1"/>
  <c r="H778"/>
  <c r="S778" s="1"/>
  <c r="H779"/>
  <c r="S779" s="1"/>
  <c r="K458"/>
  <c r="H458" s="1"/>
  <c r="S458" s="1"/>
  <c r="H782"/>
  <c r="S782" s="1"/>
  <c r="H457"/>
  <c r="H456"/>
  <c r="H455"/>
  <c r="H454"/>
  <c r="H453"/>
  <c r="H452"/>
  <c r="I451"/>
  <c r="H451" s="1"/>
  <c r="S451" s="1"/>
  <c r="H450"/>
  <c r="Q450" s="1"/>
  <c r="H449"/>
  <c r="Q449" s="1"/>
  <c r="H448"/>
  <c r="Q448" s="1"/>
  <c r="H447"/>
  <c r="Q447" s="1"/>
  <c r="H446"/>
  <c r="Q446" s="1"/>
  <c r="H445"/>
  <c r="Q445" s="1"/>
  <c r="H444"/>
  <c r="Q444" s="1"/>
  <c r="H443"/>
  <c r="Q443" s="1"/>
  <c r="H442"/>
  <c r="Q442" s="1"/>
  <c r="H441"/>
  <c r="Q441" s="1"/>
  <c r="H440"/>
  <c r="Q440" s="1"/>
  <c r="H439"/>
  <c r="Q439" s="1"/>
  <c r="Q432"/>
  <c r="N432"/>
  <c r="L432"/>
  <c r="H431"/>
  <c r="S431" s="1"/>
  <c r="H430"/>
  <c r="S430" s="1"/>
  <c r="K429"/>
  <c r="J428"/>
  <c r="J432" s="1"/>
  <c r="M432"/>
  <c r="K427"/>
  <c r="H427" s="1"/>
  <c r="S427" s="1"/>
  <c r="I426"/>
  <c r="H426" s="1"/>
  <c r="I425"/>
  <c r="H425" s="1"/>
  <c r="K424"/>
  <c r="I424"/>
  <c r="I423"/>
  <c r="O420"/>
  <c r="H420" s="1"/>
  <c r="S420" s="1"/>
  <c r="K418"/>
  <c r="H418" s="1"/>
  <c r="S418" s="1"/>
  <c r="H417"/>
  <c r="S417" s="1"/>
  <c r="N421"/>
  <c r="I415"/>
  <c r="H415" s="1"/>
  <c r="S415" s="1"/>
  <c r="O414"/>
  <c r="I414"/>
  <c r="O413"/>
  <c r="H413" s="1"/>
  <c r="S413" s="1"/>
  <c r="H408"/>
  <c r="S408" s="1"/>
  <c r="H407"/>
  <c r="S407" s="1"/>
  <c r="K406"/>
  <c r="H406" s="1"/>
  <c r="S406" s="1"/>
  <c r="K405"/>
  <c r="H405" s="1"/>
  <c r="S405" s="1"/>
  <c r="K404"/>
  <c r="K403"/>
  <c r="H403" s="1"/>
  <c r="S403" s="1"/>
  <c r="K402"/>
  <c r="H402" s="1"/>
  <c r="S402" s="1"/>
  <c r="K401"/>
  <c r="H401" s="1"/>
  <c r="K400"/>
  <c r="H400" s="1"/>
  <c r="S400" s="1"/>
  <c r="K711"/>
  <c r="H397"/>
  <c r="P397" s="1"/>
  <c r="Q396"/>
  <c r="P396"/>
  <c r="K396"/>
  <c r="K398" s="1"/>
  <c r="H395"/>
  <c r="Q395" s="1"/>
  <c r="H394"/>
  <c r="Q394" s="1"/>
  <c r="H393"/>
  <c r="P393" s="1"/>
  <c r="H392"/>
  <c r="P392" s="1"/>
  <c r="H391"/>
  <c r="P391" s="1"/>
  <c r="H390"/>
  <c r="Q390" s="1"/>
  <c r="H389"/>
  <c r="Q389" s="1"/>
  <c r="H388"/>
  <c r="H387"/>
  <c r="P387" s="1"/>
  <c r="A387"/>
  <c r="A388" s="1"/>
  <c r="A389" s="1"/>
  <c r="A390" s="1"/>
  <c r="A391" s="1"/>
  <c r="A392" s="1"/>
  <c r="A393" s="1"/>
  <c r="A394" s="1"/>
  <c r="A395" s="1"/>
  <c r="A396" s="1"/>
  <c r="A397" s="1"/>
  <c r="A400" s="1"/>
  <c r="A401" s="1"/>
  <c r="A402" s="1"/>
  <c r="A403" s="1"/>
  <c r="A404" s="1"/>
  <c r="A405" s="1"/>
  <c r="A406" s="1"/>
  <c r="A407" s="1"/>
  <c r="A408" s="1"/>
  <c r="A411" s="1"/>
  <c r="A412" s="1"/>
  <c r="A413" s="1"/>
  <c r="A414" s="1"/>
  <c r="A415" s="1"/>
  <c r="H386"/>
  <c r="O381"/>
  <c r="O382" s="1"/>
  <c r="G381"/>
  <c r="G382" s="1"/>
  <c r="F381"/>
  <c r="F382" s="1"/>
  <c r="I380"/>
  <c r="K379"/>
  <c r="K381" s="1"/>
  <c r="K382" s="1"/>
  <c r="F375"/>
  <c r="G374"/>
  <c r="K374" s="1"/>
  <c r="H373"/>
  <c r="H372"/>
  <c r="G372"/>
  <c r="H371"/>
  <c r="G371"/>
  <c r="L369"/>
  <c r="J369"/>
  <c r="G369"/>
  <c r="F369"/>
  <c r="N368"/>
  <c r="N369" s="1"/>
  <c r="M368"/>
  <c r="M367"/>
  <c r="I366"/>
  <c r="H366" s="1"/>
  <c r="S366" s="1"/>
  <c r="M365"/>
  <c r="K365"/>
  <c r="O364"/>
  <c r="O369" s="1"/>
  <c r="K364"/>
  <c r="I364"/>
  <c r="R362"/>
  <c r="Q362"/>
  <c r="P362"/>
  <c r="O362"/>
  <c r="N362"/>
  <c r="L362"/>
  <c r="J362"/>
  <c r="G362"/>
  <c r="F362"/>
  <c r="I361"/>
  <c r="H361" s="1"/>
  <c r="S361" s="1"/>
  <c r="I360"/>
  <c r="H360" s="1"/>
  <c r="S360" s="1"/>
  <c r="I359"/>
  <c r="H359" s="1"/>
  <c r="S359" s="1"/>
  <c r="I358"/>
  <c r="H358" s="1"/>
  <c r="S358" s="1"/>
  <c r="I357"/>
  <c r="H357" s="1"/>
  <c r="S357" s="1"/>
  <c r="K356"/>
  <c r="H356" s="1"/>
  <c r="S356" s="1"/>
  <c r="M355"/>
  <c r="M362" s="1"/>
  <c r="K354"/>
  <c r="H354" s="1"/>
  <c r="S354" s="1"/>
  <c r="I353"/>
  <c r="H353" s="1"/>
  <c r="K352"/>
  <c r="H352" s="1"/>
  <c r="S352" s="1"/>
  <c r="R348"/>
  <c r="R349" s="1"/>
  <c r="Q348"/>
  <c r="Q349" s="1"/>
  <c r="P348"/>
  <c r="P349" s="1"/>
  <c r="O348"/>
  <c r="O349" s="1"/>
  <c r="N348"/>
  <c r="N349" s="1"/>
  <c r="M348"/>
  <c r="M349" s="1"/>
  <c r="L348"/>
  <c r="L349" s="1"/>
  <c r="K348"/>
  <c r="K349" s="1"/>
  <c r="I348"/>
  <c r="I349" s="1"/>
  <c r="G348"/>
  <c r="G349" s="1"/>
  <c r="F348"/>
  <c r="F349" s="1"/>
  <c r="J347"/>
  <c r="J348" s="1"/>
  <c r="J349" s="1"/>
  <c r="R343"/>
  <c r="Q343"/>
  <c r="P343"/>
  <c r="O343"/>
  <c r="N343"/>
  <c r="M343"/>
  <c r="L343"/>
  <c r="J343"/>
  <c r="I343"/>
  <c r="G343"/>
  <c r="F343"/>
  <c r="K342"/>
  <c r="K343" s="1"/>
  <c r="R340"/>
  <c r="Q340"/>
  <c r="P340"/>
  <c r="N340"/>
  <c r="M340"/>
  <c r="L340"/>
  <c r="I340"/>
  <c r="G340"/>
  <c r="F340"/>
  <c r="K339"/>
  <c r="K340" s="1"/>
  <c r="O338"/>
  <c r="J338"/>
  <c r="J340" s="1"/>
  <c r="R336"/>
  <c r="Q336"/>
  <c r="P336"/>
  <c r="O336"/>
  <c r="N336"/>
  <c r="M336"/>
  <c r="L336"/>
  <c r="J336"/>
  <c r="I336"/>
  <c r="G336"/>
  <c r="F336"/>
  <c r="H335"/>
  <c r="K334"/>
  <c r="K336" s="1"/>
  <c r="I332"/>
  <c r="G332"/>
  <c r="F332"/>
  <c r="K331"/>
  <c r="H331" s="1"/>
  <c r="S331" s="1"/>
  <c r="J330"/>
  <c r="J332" s="1"/>
  <c r="K329"/>
  <c r="N328"/>
  <c r="N332" s="1"/>
  <c r="M328"/>
  <c r="M332" s="1"/>
  <c r="R326"/>
  <c r="Q326"/>
  <c r="P326"/>
  <c r="N326"/>
  <c r="M326"/>
  <c r="L326"/>
  <c r="K326"/>
  <c r="J326"/>
  <c r="G326"/>
  <c r="F326"/>
  <c r="I325"/>
  <c r="H325" s="1"/>
  <c r="S325" s="1"/>
  <c r="I324"/>
  <c r="H324" s="1"/>
  <c r="S324" s="1"/>
  <c r="O323"/>
  <c r="O326" s="1"/>
  <c r="I323"/>
  <c r="I322"/>
  <c r="Q320"/>
  <c r="I320"/>
  <c r="G320"/>
  <c r="F320"/>
  <c r="K319"/>
  <c r="K320" s="1"/>
  <c r="Q317"/>
  <c r="O317"/>
  <c r="I317"/>
  <c r="G317"/>
  <c r="F317"/>
  <c r="M316"/>
  <c r="M317" s="1"/>
  <c r="R312"/>
  <c r="Q312"/>
  <c r="P312"/>
  <c r="O312"/>
  <c r="N312"/>
  <c r="M312"/>
  <c r="L312"/>
  <c r="J312"/>
  <c r="I312"/>
  <c r="G312"/>
  <c r="F312"/>
  <c r="K311"/>
  <c r="H308"/>
  <c r="Q308" s="1"/>
  <c r="I307"/>
  <c r="K306"/>
  <c r="H306" s="1"/>
  <c r="S306" s="1"/>
  <c r="O305"/>
  <c r="O309" s="1"/>
  <c r="K305"/>
  <c r="H304"/>
  <c r="S304" s="1"/>
  <c r="K303"/>
  <c r="H303" s="1"/>
  <c r="S303" s="1"/>
  <c r="H302"/>
  <c r="S302" s="1"/>
  <c r="K301"/>
  <c r="Q299"/>
  <c r="H298"/>
  <c r="S298" s="1"/>
  <c r="H297"/>
  <c r="S297" s="1"/>
  <c r="M296"/>
  <c r="H296" s="1"/>
  <c r="M295"/>
  <c r="H295" s="1"/>
  <c r="M294"/>
  <c r="H294" s="1"/>
  <c r="R290"/>
  <c r="R291" s="1"/>
  <c r="Q290"/>
  <c r="Q291" s="1"/>
  <c r="P290"/>
  <c r="P291" s="1"/>
  <c r="L290"/>
  <c r="L291" s="1"/>
  <c r="I290"/>
  <c r="I291" s="1"/>
  <c r="G290"/>
  <c r="G291" s="1"/>
  <c r="F290"/>
  <c r="F291" s="1"/>
  <c r="J289"/>
  <c r="J290" s="1"/>
  <c r="J291" s="1"/>
  <c r="O288"/>
  <c r="N288"/>
  <c r="M288"/>
  <c r="O287"/>
  <c r="K287"/>
  <c r="O286"/>
  <c r="N286"/>
  <c r="M286"/>
  <c r="K286"/>
  <c r="F284"/>
  <c r="K283"/>
  <c r="H283" s="1"/>
  <c r="S283" s="1"/>
  <c r="M282"/>
  <c r="H282" s="1"/>
  <c r="S282" s="1"/>
  <c r="G281"/>
  <c r="M281" s="1"/>
  <c r="H281" s="1"/>
  <c r="S281" s="1"/>
  <c r="M280"/>
  <c r="L280"/>
  <c r="L284" s="1"/>
  <c r="M279"/>
  <c r="H279" s="1"/>
  <c r="S279" s="1"/>
  <c r="M278"/>
  <c r="H278" s="1"/>
  <c r="S278" s="1"/>
  <c r="G277"/>
  <c r="I277" s="1"/>
  <c r="H277" s="1"/>
  <c r="S277" s="1"/>
  <c r="G276"/>
  <c r="K276" s="1"/>
  <c r="H276" s="1"/>
  <c r="S276" s="1"/>
  <c r="G275"/>
  <c r="K275" s="1"/>
  <c r="H275" s="1"/>
  <c r="S275" s="1"/>
  <c r="G274"/>
  <c r="K274" s="1"/>
  <c r="H274" s="1"/>
  <c r="S274" s="1"/>
  <c r="I273"/>
  <c r="H273" s="1"/>
  <c r="S273" s="1"/>
  <c r="I272"/>
  <c r="H272" s="1"/>
  <c r="S272" s="1"/>
  <c r="I271"/>
  <c r="I270"/>
  <c r="H270" s="1"/>
  <c r="S270" s="1"/>
  <c r="J269"/>
  <c r="H269" s="1"/>
  <c r="G269"/>
  <c r="J268"/>
  <c r="H268" s="1"/>
  <c r="S268" s="1"/>
  <c r="G268"/>
  <c r="K265"/>
  <c r="K266" s="1"/>
  <c r="O264"/>
  <c r="J264"/>
  <c r="O263"/>
  <c r="J263"/>
  <c r="H260"/>
  <c r="S260" s="1"/>
  <c r="H259"/>
  <c r="S259" s="1"/>
  <c r="H258"/>
  <c r="S258" s="1"/>
  <c r="H257"/>
  <c r="S257" s="1"/>
  <c r="H256"/>
  <c r="S256" s="1"/>
  <c r="S255"/>
  <c r="H254"/>
  <c r="S254" s="1"/>
  <c r="H253"/>
  <c r="S253" s="1"/>
  <c r="H252"/>
  <c r="S252" s="1"/>
  <c r="H251"/>
  <c r="S251" s="1"/>
  <c r="H250"/>
  <c r="S250" s="1"/>
  <c r="H249"/>
  <c r="S249" s="1"/>
  <c r="H248"/>
  <c r="S248" s="1"/>
  <c r="H247"/>
  <c r="S247" s="1"/>
  <c r="H246"/>
  <c r="S246" s="1"/>
  <c r="H245"/>
  <c r="S245" s="1"/>
  <c r="J244"/>
  <c r="J261" s="1"/>
  <c r="I243"/>
  <c r="K240"/>
  <c r="H240" s="1"/>
  <c r="S240" s="1"/>
  <c r="K239"/>
  <c r="H239" s="1"/>
  <c r="S239" s="1"/>
  <c r="K238"/>
  <c r="H238" s="1"/>
  <c r="S238" s="1"/>
  <c r="K237"/>
  <c r="H237" s="1"/>
  <c r="S237" s="1"/>
  <c r="O236"/>
  <c r="O241" s="1"/>
  <c r="J236"/>
  <c r="J241" s="1"/>
  <c r="S235"/>
  <c r="K235"/>
  <c r="G233"/>
  <c r="F233"/>
  <c r="H232"/>
  <c r="H231"/>
  <c r="O230"/>
  <c r="M230"/>
  <c r="K230"/>
  <c r="I230"/>
  <c r="H229"/>
  <c r="S229" s="1"/>
  <c r="J228"/>
  <c r="K227"/>
  <c r="H227" s="1"/>
  <c r="S227" s="1"/>
  <c r="J226"/>
  <c r="H226" s="1"/>
  <c r="S226" s="1"/>
  <c r="J225"/>
  <c r="H225" s="1"/>
  <c r="S225" s="1"/>
  <c r="H224"/>
  <c r="S224" s="1"/>
  <c r="O223"/>
  <c r="K223"/>
  <c r="I223"/>
  <c r="O222"/>
  <c r="K222"/>
  <c r="I222"/>
  <c r="O221"/>
  <c r="K221"/>
  <c r="I221"/>
  <c r="K220"/>
  <c r="H220" s="1"/>
  <c r="S220" s="1"/>
  <c r="R218"/>
  <c r="P218"/>
  <c r="H217"/>
  <c r="Q217" s="1"/>
  <c r="H216"/>
  <c r="Q216" s="1"/>
  <c r="I215"/>
  <c r="H215" s="1"/>
  <c r="H214"/>
  <c r="Q214" s="1"/>
  <c r="H213"/>
  <c r="Q213" s="1"/>
  <c r="H212"/>
  <c r="Q212" s="1"/>
  <c r="H211"/>
  <c r="Q211" s="1"/>
  <c r="H210"/>
  <c r="Q210" s="1"/>
  <c r="I209"/>
  <c r="H208"/>
  <c r="Q208" s="1"/>
  <c r="H207"/>
  <c r="Q207" s="1"/>
  <c r="H206"/>
  <c r="Q206" s="1"/>
  <c r="H205"/>
  <c r="Q205" s="1"/>
  <c r="H204"/>
  <c r="Q204" s="1"/>
  <c r="H203"/>
  <c r="Q203" s="1"/>
  <c r="S202"/>
  <c r="H202"/>
  <c r="Q202" s="1"/>
  <c r="H201"/>
  <c r="Q201" s="1"/>
  <c r="O200"/>
  <c r="H200" s="1"/>
  <c r="S200" s="1"/>
  <c r="K199"/>
  <c r="O199" s="1"/>
  <c r="F199"/>
  <c r="F218" s="1"/>
  <c r="K198"/>
  <c r="O198" s="1"/>
  <c r="H198" s="1"/>
  <c r="S198" s="1"/>
  <c r="H781"/>
  <c r="Q781" s="1"/>
  <c r="Q197"/>
  <c r="N197"/>
  <c r="K197"/>
  <c r="K196"/>
  <c r="O195"/>
  <c r="J195" s="1"/>
  <c r="H195" s="1"/>
  <c r="S195" s="1"/>
  <c r="I194"/>
  <c r="H194" s="1"/>
  <c r="S194" s="1"/>
  <c r="I193"/>
  <c r="H193" s="1"/>
  <c r="O192"/>
  <c r="H192" s="1"/>
  <c r="S192" s="1"/>
  <c r="I191"/>
  <c r="H191" s="1"/>
  <c r="I190"/>
  <c r="H190"/>
  <c r="S189"/>
  <c r="O189"/>
  <c r="I189"/>
  <c r="I188"/>
  <c r="H188" s="1"/>
  <c r="N187"/>
  <c r="M187"/>
  <c r="L187"/>
  <c r="I186"/>
  <c r="H186" s="1"/>
  <c r="I185"/>
  <c r="H185" s="1"/>
  <c r="I184"/>
  <c r="H184" s="1"/>
  <c r="I183"/>
  <c r="H183" s="1"/>
  <c r="I182"/>
  <c r="H182" s="1"/>
  <c r="O181"/>
  <c r="K181"/>
  <c r="Q180"/>
  <c r="K180"/>
  <c r="O180" s="1"/>
  <c r="I179"/>
  <c r="H179" s="1"/>
  <c r="H178"/>
  <c r="I177"/>
  <c r="H177" s="1"/>
  <c r="J176"/>
  <c r="H176" s="1"/>
  <c r="J175"/>
  <c r="H175" s="1"/>
  <c r="J174"/>
  <c r="J173"/>
  <c r="J172"/>
  <c r="Q172" s="1"/>
  <c r="J171"/>
  <c r="S171" s="1"/>
  <c r="J170"/>
  <c r="H170" s="1"/>
  <c r="J169"/>
  <c r="J168"/>
  <c r="S168" s="1"/>
  <c r="J167"/>
  <c r="J166"/>
  <c r="S166" s="1"/>
  <c r="J165"/>
  <c r="H165" s="1"/>
  <c r="J164"/>
  <c r="Q164" s="1"/>
  <c r="J163"/>
  <c r="Q163" s="1"/>
  <c r="J162"/>
  <c r="H162" s="1"/>
  <c r="J161"/>
  <c r="H161" s="1"/>
  <c r="J160"/>
  <c r="S160" s="1"/>
  <c r="J159"/>
  <c r="S159" s="1"/>
  <c r="J158"/>
  <c r="J157"/>
  <c r="S157" s="1"/>
  <c r="J156"/>
  <c r="Q156" s="1"/>
  <c r="J155"/>
  <c r="Q155" s="1"/>
  <c r="J154"/>
  <c r="H154" s="1"/>
  <c r="J153"/>
  <c r="J152"/>
  <c r="S152" s="1"/>
  <c r="J151"/>
  <c r="S151" s="1"/>
  <c r="I150"/>
  <c r="H150" s="1"/>
  <c r="S150" s="1"/>
  <c r="I149"/>
  <c r="H149" s="1"/>
  <c r="S149" s="1"/>
  <c r="I148"/>
  <c r="H148" s="1"/>
  <c r="I147"/>
  <c r="H147" s="1"/>
  <c r="I146"/>
  <c r="H145"/>
  <c r="K144"/>
  <c r="O144" s="1"/>
  <c r="H144" s="1"/>
  <c r="S144" s="1"/>
  <c r="K143"/>
  <c r="H143" s="1"/>
  <c r="S143" s="1"/>
  <c r="H142"/>
  <c r="H141"/>
  <c r="H140"/>
  <c r="H139"/>
  <c r="J138"/>
  <c r="H138" s="1"/>
  <c r="S138" s="1"/>
  <c r="J137"/>
  <c r="Q137" s="1"/>
  <c r="J136"/>
  <c r="H136" s="1"/>
  <c r="J135"/>
  <c r="H135" s="1"/>
  <c r="N134"/>
  <c r="M134"/>
  <c r="L134"/>
  <c r="J133"/>
  <c r="H133" s="1"/>
  <c r="J132"/>
  <c r="S132" s="1"/>
  <c r="J131"/>
  <c r="S131" s="1"/>
  <c r="J130"/>
  <c r="S130" s="1"/>
  <c r="J129"/>
  <c r="J128"/>
  <c r="H128" s="1"/>
  <c r="J127"/>
  <c r="S127" s="1"/>
  <c r="J126"/>
  <c r="Q126" s="1"/>
  <c r="J125"/>
  <c r="S125" s="1"/>
  <c r="J124"/>
  <c r="Q124" s="1"/>
  <c r="J123"/>
  <c r="Q123" s="1"/>
  <c r="J122"/>
  <c r="H122" s="1"/>
  <c r="J121"/>
  <c r="H121" s="1"/>
  <c r="J120"/>
  <c r="S120" s="1"/>
  <c r="J119"/>
  <c r="S119" s="1"/>
  <c r="J118"/>
  <c r="Q118" s="1"/>
  <c r="J117"/>
  <c r="S117" s="1"/>
  <c r="J116"/>
  <c r="J115"/>
  <c r="J114"/>
  <c r="Q114" s="1"/>
  <c r="J113"/>
  <c r="Q113" s="1"/>
  <c r="J112"/>
  <c r="H112" s="1"/>
  <c r="M111"/>
  <c r="O111" s="1"/>
  <c r="J110"/>
  <c r="S110" s="1"/>
  <c r="J109"/>
  <c r="S109" s="1"/>
  <c r="K108"/>
  <c r="I108"/>
  <c r="N107"/>
  <c r="M107"/>
  <c r="H106"/>
  <c r="J105"/>
  <c r="H105" s="1"/>
  <c r="J104"/>
  <c r="J103"/>
  <c r="J102"/>
  <c r="Q102" s="1"/>
  <c r="J101"/>
  <c r="J100"/>
  <c r="S100" s="1"/>
  <c r="J99"/>
  <c r="S99" s="1"/>
  <c r="J98"/>
  <c r="Q98" s="1"/>
  <c r="J97"/>
  <c r="J96"/>
  <c r="H96" s="1"/>
  <c r="J95"/>
  <c r="Q95" s="1"/>
  <c r="J94"/>
  <c r="H94" s="1"/>
  <c r="J93"/>
  <c r="S93" s="1"/>
  <c r="J92"/>
  <c r="S92" s="1"/>
  <c r="J91"/>
  <c r="H91" s="1"/>
  <c r="J90"/>
  <c r="J89"/>
  <c r="S89" s="1"/>
  <c r="J88"/>
  <c r="S88" s="1"/>
  <c r="J87"/>
  <c r="H87" s="1"/>
  <c r="J86"/>
  <c r="S86" s="1"/>
  <c r="J85"/>
  <c r="J84"/>
  <c r="H84" s="1"/>
  <c r="J83"/>
  <c r="J82"/>
  <c r="Q82" s="1"/>
  <c r="J81"/>
  <c r="S81" s="1"/>
  <c r="J80"/>
  <c r="H80" s="1"/>
  <c r="J79"/>
  <c r="S79" s="1"/>
  <c r="J78"/>
  <c r="H78" s="1"/>
  <c r="J77"/>
  <c r="H76"/>
  <c r="J75"/>
  <c r="H75" s="1"/>
  <c r="S75" s="1"/>
  <c r="M74"/>
  <c r="H74" s="1"/>
  <c r="S74" s="1"/>
  <c r="H73"/>
  <c r="H72"/>
  <c r="H71"/>
  <c r="Q70"/>
  <c r="K70"/>
  <c r="S68"/>
  <c r="R68"/>
  <c r="Q68"/>
  <c r="O68"/>
  <c r="G68"/>
  <c r="F68"/>
  <c r="I67"/>
  <c r="H67" s="1"/>
  <c r="K66"/>
  <c r="H66" s="1"/>
  <c r="H65"/>
  <c r="K64"/>
  <c r="H63"/>
  <c r="H62"/>
  <c r="H61"/>
  <c r="H60"/>
  <c r="H59"/>
  <c r="M58"/>
  <c r="I58"/>
  <c r="I57"/>
  <c r="H57" s="1"/>
  <c r="I56"/>
  <c r="I55"/>
  <c r="H55" s="1"/>
  <c r="I54"/>
  <c r="H54" s="1"/>
  <c r="R52"/>
  <c r="P52"/>
  <c r="O52"/>
  <c r="N52"/>
  <c r="J52"/>
  <c r="G52"/>
  <c r="F52"/>
  <c r="M743"/>
  <c r="H743" s="1"/>
  <c r="S743" s="1"/>
  <c r="H51"/>
  <c r="S51" s="1"/>
  <c r="I50"/>
  <c r="I49"/>
  <c r="H49" s="1"/>
  <c r="S49" s="1"/>
  <c r="H48"/>
  <c r="S48" s="1"/>
  <c r="M47"/>
  <c r="K46"/>
  <c r="H46" s="1"/>
  <c r="S46" s="1"/>
  <c r="K45"/>
  <c r="H45" s="1"/>
  <c r="S45" s="1"/>
  <c r="Q44"/>
  <c r="Q52" s="1"/>
  <c r="H44"/>
  <c r="S44" s="1"/>
  <c r="R42"/>
  <c r="Q42"/>
  <c r="P42"/>
  <c r="O42"/>
  <c r="N42"/>
  <c r="J42"/>
  <c r="I42"/>
  <c r="G42"/>
  <c r="F42"/>
  <c r="K41"/>
  <c r="H41" s="1"/>
  <c r="S41" s="1"/>
  <c r="K40"/>
  <c r="H40" s="1"/>
  <c r="S40" s="1"/>
  <c r="K39"/>
  <c r="H39" s="1"/>
  <c r="S39" s="1"/>
  <c r="M38"/>
  <c r="M42" s="1"/>
  <c r="K38"/>
  <c r="K37"/>
  <c r="H37" s="1"/>
  <c r="S37" s="1"/>
  <c r="H36"/>
  <c r="S36" s="1"/>
  <c r="K35"/>
  <c r="H35" s="1"/>
  <c r="S35" s="1"/>
  <c r="K34"/>
  <c r="H34" s="1"/>
  <c r="S34" s="1"/>
  <c r="K33"/>
  <c r="H33" s="1"/>
  <c r="S33" s="1"/>
  <c r="K32"/>
  <c r="H32" s="1"/>
  <c r="S32" s="1"/>
  <c r="K31"/>
  <c r="H31" s="1"/>
  <c r="S31" s="1"/>
  <c r="K30"/>
  <c r="H30" s="1"/>
  <c r="S30" s="1"/>
  <c r="K29"/>
  <c r="H29" s="1"/>
  <c r="S29" s="1"/>
  <c r="K28"/>
  <c r="H28" s="1"/>
  <c r="S28" s="1"/>
  <c r="K27"/>
  <c r="H27" s="1"/>
  <c r="R25"/>
  <c r="P25"/>
  <c r="O25"/>
  <c r="N25"/>
  <c r="K25"/>
  <c r="J25"/>
  <c r="F25"/>
  <c r="I24"/>
  <c r="H24" s="1"/>
  <c r="S24" s="1"/>
  <c r="H23"/>
  <c r="Q23" s="1"/>
  <c r="G23"/>
  <c r="H22"/>
  <c r="Q22" s="1"/>
  <c r="G22"/>
  <c r="M21"/>
  <c r="I20"/>
  <c r="H20" s="1"/>
  <c r="S20" s="1"/>
  <c r="I19"/>
  <c r="H19" s="1"/>
  <c r="A19"/>
  <c r="A20" s="1"/>
  <c r="A21" s="1"/>
  <c r="A22" s="1"/>
  <c r="A23" s="1"/>
  <c r="A24" s="1"/>
  <c r="A27" s="1"/>
  <c r="I18"/>
  <c r="H1136"/>
  <c r="S1136" s="1"/>
  <c r="R759" l="1"/>
  <c r="Q759"/>
  <c r="H701"/>
  <c r="Q701" s="1"/>
  <c r="H700"/>
  <c r="Q700" s="1"/>
  <c r="H704"/>
  <c r="Q704" s="1"/>
  <c r="H707"/>
  <c r="Q707" s="1"/>
  <c r="H705"/>
  <c r="Q705" s="1"/>
  <c r="M1084"/>
  <c r="H703"/>
  <c r="Q703" s="1"/>
  <c r="H702"/>
  <c r="Q702" s="1"/>
  <c r="H706"/>
  <c r="Q706" s="1"/>
  <c r="H708"/>
  <c r="Q708" s="1"/>
  <c r="K1108"/>
  <c r="K1109" s="1"/>
  <c r="K744"/>
  <c r="H1069"/>
  <c r="S1069" s="1"/>
  <c r="J1084"/>
  <c r="O1084"/>
  <c r="K1084"/>
  <c r="I1084"/>
  <c r="S1064"/>
  <c r="M744"/>
  <c r="H1097"/>
  <c r="A747"/>
  <c r="A748" s="1"/>
  <c r="A749" s="1"/>
  <c r="A750" s="1"/>
  <c r="A751" s="1"/>
  <c r="A752" s="1"/>
  <c r="A753" s="1"/>
  <c r="A754" s="1"/>
  <c r="A755" s="1"/>
  <c r="A756" s="1"/>
  <c r="A757" s="1"/>
  <c r="A758" s="1"/>
  <c r="S1180"/>
  <c r="M1186"/>
  <c r="O1186"/>
  <c r="O1187" s="1"/>
  <c r="H1181"/>
  <c r="S1181" s="1"/>
  <c r="I1186"/>
  <c r="I1187" s="1"/>
  <c r="K1186"/>
  <c r="K1187" s="1"/>
  <c r="H18"/>
  <c r="S18" s="1"/>
  <c r="I25"/>
  <c r="H881"/>
  <c r="S881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4" s="1"/>
  <c r="A45" s="1"/>
  <c r="A46" s="1"/>
  <c r="A47" s="1"/>
  <c r="A48" s="1"/>
  <c r="A49" s="1"/>
  <c r="A50" s="1"/>
  <c r="A51" s="1"/>
  <c r="Q995"/>
  <c r="L1109"/>
  <c r="L976"/>
  <c r="O1109"/>
  <c r="H877"/>
  <c r="Q877" s="1"/>
  <c r="I976"/>
  <c r="H902"/>
  <c r="S902" s="1"/>
  <c r="O976"/>
  <c r="M976"/>
  <c r="N976"/>
  <c r="K976"/>
  <c r="Q685"/>
  <c r="P537"/>
  <c r="J668"/>
  <c r="N1109"/>
  <c r="H658"/>
  <c r="S658" s="1"/>
  <c r="S659" s="1"/>
  <c r="H330"/>
  <c r="S330" s="1"/>
  <c r="K695"/>
  <c r="H163"/>
  <c r="H365"/>
  <c r="S365" s="1"/>
  <c r="Q94"/>
  <c r="K290"/>
  <c r="K291" s="1"/>
  <c r="H157"/>
  <c r="Q165"/>
  <c r="S172"/>
  <c r="S102"/>
  <c r="H132"/>
  <c r="S175"/>
  <c r="H263"/>
  <c r="S263" s="1"/>
  <c r="Q175"/>
  <c r="H230"/>
  <c r="S230" s="1"/>
  <c r="M1090"/>
  <c r="H1102"/>
  <c r="H1144"/>
  <c r="S1144" s="1"/>
  <c r="S1145" s="1"/>
  <c r="N1090"/>
  <c r="H530"/>
  <c r="S530" s="1"/>
  <c r="H757"/>
  <c r="S757" s="1"/>
  <c r="Q387"/>
  <c r="H692"/>
  <c r="S692" s="1"/>
  <c r="S695" s="1"/>
  <c r="I369"/>
  <c r="H172"/>
  <c r="L660"/>
  <c r="H1163"/>
  <c r="Q1163" s="1"/>
  <c r="R1109"/>
  <c r="H130"/>
  <c r="Q117"/>
  <c r="I1090"/>
  <c r="H338"/>
  <c r="S338" s="1"/>
  <c r="H118"/>
  <c r="S165"/>
  <c r="P389"/>
  <c r="S137"/>
  <c r="I650"/>
  <c r="I660" s="1"/>
  <c r="G634"/>
  <c r="M1061"/>
  <c r="Q535"/>
  <c r="S396"/>
  <c r="S398" s="1"/>
  <c r="H396"/>
  <c r="H398" s="1"/>
  <c r="S136"/>
  <c r="Q392"/>
  <c r="H117"/>
  <c r="Q132"/>
  <c r="H236"/>
  <c r="S236" s="1"/>
  <c r="S241" s="1"/>
  <c r="P679"/>
  <c r="H1087"/>
  <c r="S1087" s="1"/>
  <c r="G284"/>
  <c r="J1109"/>
  <c r="H526"/>
  <c r="S526" s="1"/>
  <c r="H916"/>
  <c r="S916" s="1"/>
  <c r="H1184"/>
  <c r="H749"/>
  <c r="N313"/>
  <c r="G313"/>
  <c r="K362"/>
  <c r="F376"/>
  <c r="S98"/>
  <c r="H137"/>
  <c r="H379"/>
  <c r="S379" s="1"/>
  <c r="Q157"/>
  <c r="H663"/>
  <c r="H160"/>
  <c r="Q120"/>
  <c r="I667"/>
  <c r="I668" s="1"/>
  <c r="H529"/>
  <c r="S529" s="1"/>
  <c r="M615"/>
  <c r="H633"/>
  <c r="R660"/>
  <c r="H893"/>
  <c r="S893" s="1"/>
  <c r="F313"/>
  <c r="H98"/>
  <c r="S94"/>
  <c r="Q160"/>
  <c r="H120"/>
  <c r="H189"/>
  <c r="P394"/>
  <c r="H102"/>
  <c r="Q78"/>
  <c r="O233"/>
  <c r="H1068"/>
  <c r="S1068" s="1"/>
  <c r="P1109"/>
  <c r="G1109"/>
  <c r="H299"/>
  <c r="H1164"/>
  <c r="Q1164" s="1"/>
  <c r="S123"/>
  <c r="H364"/>
  <c r="S364" s="1"/>
  <c r="O634"/>
  <c r="I1010"/>
  <c r="S170"/>
  <c r="H1015"/>
  <c r="S1015" s="1"/>
  <c r="P390"/>
  <c r="H123"/>
  <c r="Q93"/>
  <c r="H751"/>
  <c r="S751" s="1"/>
  <c r="Q130"/>
  <c r="H114"/>
  <c r="K619"/>
  <c r="Q127"/>
  <c r="Q92"/>
  <c r="H319"/>
  <c r="H323"/>
  <c r="S323" s="1"/>
  <c r="P376"/>
  <c r="H613"/>
  <c r="S613" s="1"/>
  <c r="I729"/>
  <c r="H911"/>
  <c r="S911" s="1"/>
  <c r="O1116"/>
  <c r="O1146" s="1"/>
  <c r="H758"/>
  <c r="S758" s="1"/>
  <c r="H1157"/>
  <c r="Q1157" s="1"/>
  <c r="H1161"/>
  <c r="Q1161" s="1"/>
  <c r="H1165"/>
  <c r="Q1165" s="1"/>
  <c r="R376"/>
  <c r="M629"/>
  <c r="M634" s="1"/>
  <c r="A416"/>
  <c r="A417" s="1"/>
  <c r="A418" s="1"/>
  <c r="A419" s="1"/>
  <c r="A420" s="1"/>
  <c r="A423" s="1"/>
  <c r="A424" s="1"/>
  <c r="A425" s="1"/>
  <c r="A426" s="1"/>
  <c r="A427" s="1"/>
  <c r="A428" s="1"/>
  <c r="A429" s="1"/>
  <c r="A430" s="1"/>
  <c r="A431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M668"/>
  <c r="H1156"/>
  <c r="Q1156" s="1"/>
  <c r="Q397"/>
  <c r="S163"/>
  <c r="S105"/>
  <c r="M233"/>
  <c r="S299"/>
  <c r="H1113"/>
  <c r="H155"/>
  <c r="H1045"/>
  <c r="S1045" s="1"/>
  <c r="H93"/>
  <c r="H127"/>
  <c r="S156"/>
  <c r="H171"/>
  <c r="H424"/>
  <c r="H1183"/>
  <c r="S1183" s="1"/>
  <c r="H725"/>
  <c r="S725" s="1"/>
  <c r="H1114"/>
  <c r="G695"/>
  <c r="S1012"/>
  <c r="S1093"/>
  <c r="S1097" s="1"/>
  <c r="S1060"/>
  <c r="S1061" s="1"/>
  <c r="H1061"/>
  <c r="H897"/>
  <c r="S897" s="1"/>
  <c r="H1120"/>
  <c r="H1121" s="1"/>
  <c r="H746"/>
  <c r="M759"/>
  <c r="K1116"/>
  <c r="H1134"/>
  <c r="S1134" s="1"/>
  <c r="K1139"/>
  <c r="H180"/>
  <c r="S180" s="1"/>
  <c r="H328"/>
  <c r="S328" s="1"/>
  <c r="Q86"/>
  <c r="H152"/>
  <c r="H265"/>
  <c r="S265" s="1"/>
  <c r="Q119"/>
  <c r="Q89"/>
  <c r="Q99"/>
  <c r="Q136"/>
  <c r="H168"/>
  <c r="K233"/>
  <c r="Q393"/>
  <c r="H1133"/>
  <c r="S1133" s="1"/>
  <c r="H1123"/>
  <c r="S1123" s="1"/>
  <c r="H92"/>
  <c r="K52"/>
  <c r="H82"/>
  <c r="S155"/>
  <c r="S78"/>
  <c r="H316"/>
  <c r="Q105"/>
  <c r="S118"/>
  <c r="H780"/>
  <c r="H89"/>
  <c r="H355"/>
  <c r="S355" s="1"/>
  <c r="H1056"/>
  <c r="S1056" s="1"/>
  <c r="Q168"/>
  <c r="P395"/>
  <c r="H1141"/>
  <c r="Q171"/>
  <c r="H652"/>
  <c r="S652" s="1"/>
  <c r="I52"/>
  <c r="M218"/>
  <c r="H895"/>
  <c r="S895" s="1"/>
  <c r="R668"/>
  <c r="N668"/>
  <c r="K1177"/>
  <c r="H1079"/>
  <c r="S1079" s="1"/>
  <c r="M1109"/>
  <c r="P1146"/>
  <c r="H1135"/>
  <c r="S1135" s="1"/>
  <c r="H750"/>
  <c r="M1116"/>
  <c r="M1146" s="1"/>
  <c r="L1116"/>
  <c r="L1146" s="1"/>
  <c r="I759"/>
  <c r="O1177"/>
  <c r="R313"/>
  <c r="H731"/>
  <c r="M1187"/>
  <c r="H761"/>
  <c r="H787"/>
  <c r="S787" s="1"/>
  <c r="N1115"/>
  <c r="N1116" s="1"/>
  <c r="N1146" s="1"/>
  <c r="I538"/>
  <c r="K1126"/>
  <c r="K759"/>
  <c r="M1177"/>
  <c r="H86"/>
  <c r="H99"/>
  <c r="Q162"/>
  <c r="H528"/>
  <c r="S528" s="1"/>
  <c r="Q683"/>
  <c r="H1124"/>
  <c r="S1124" s="1"/>
  <c r="O134"/>
  <c r="H134" s="1"/>
  <c r="S134" s="1"/>
  <c r="Q152"/>
  <c r="S162"/>
  <c r="H288"/>
  <c r="S288" s="1"/>
  <c r="H289"/>
  <c r="S289" s="1"/>
  <c r="Q391"/>
  <c r="K729"/>
  <c r="H428"/>
  <c r="S428" s="1"/>
  <c r="H677"/>
  <c r="S677" s="1"/>
  <c r="H718"/>
  <c r="S718" s="1"/>
  <c r="H898"/>
  <c r="S898" s="1"/>
  <c r="R1146"/>
  <c r="S1177"/>
  <c r="G1146"/>
  <c r="H1158"/>
  <c r="Q1158" s="1"/>
  <c r="I1115"/>
  <c r="I1116" s="1"/>
  <c r="O340"/>
  <c r="O344" s="1"/>
  <c r="P682"/>
  <c r="S91"/>
  <c r="Q91"/>
  <c r="Q122"/>
  <c r="S114"/>
  <c r="H575"/>
  <c r="S575" s="1"/>
  <c r="H619"/>
  <c r="Q680"/>
  <c r="H1103"/>
  <c r="S1103" s="1"/>
  <c r="Q25"/>
  <c r="H38"/>
  <c r="S38" s="1"/>
  <c r="H164"/>
  <c r="H181"/>
  <c r="S181" s="1"/>
  <c r="H280"/>
  <c r="S280" s="1"/>
  <c r="M290"/>
  <c r="M291" s="1"/>
  <c r="O290"/>
  <c r="O291" s="1"/>
  <c r="K369"/>
  <c r="H368"/>
  <c r="S368" s="1"/>
  <c r="H414"/>
  <c r="S414" s="1"/>
  <c r="H541"/>
  <c r="S541" s="1"/>
  <c r="K1017"/>
  <c r="M611"/>
  <c r="O668"/>
  <c r="K668"/>
  <c r="J1126"/>
  <c r="O660"/>
  <c r="I1097"/>
  <c r="I1109" s="1"/>
  <c r="F1146"/>
  <c r="M1058"/>
  <c r="I709"/>
  <c r="K421"/>
  <c r="Q376"/>
  <c r="M645"/>
  <c r="M660" s="1"/>
  <c r="H116"/>
  <c r="Q116"/>
  <c r="S129"/>
  <c r="Q129"/>
  <c r="Q161"/>
  <c r="S161"/>
  <c r="H173"/>
  <c r="S173"/>
  <c r="H711"/>
  <c r="S711" s="1"/>
  <c r="S112"/>
  <c r="Q112"/>
  <c r="H115"/>
  <c r="S115"/>
  <c r="H243"/>
  <c r="S243" s="1"/>
  <c r="I261"/>
  <c r="J1115"/>
  <c r="S84"/>
  <c r="Q84"/>
  <c r="S101"/>
  <c r="Q101"/>
  <c r="S174"/>
  <c r="H174"/>
  <c r="K312"/>
  <c r="H311"/>
  <c r="H322"/>
  <c r="S322" s="1"/>
  <c r="I326"/>
  <c r="I344" s="1"/>
  <c r="S353"/>
  <c r="I381"/>
  <c r="I382" s="1"/>
  <c r="H380"/>
  <c r="K645"/>
  <c r="H643"/>
  <c r="K688"/>
  <c r="Q534"/>
  <c r="P536"/>
  <c r="H1067"/>
  <c r="S1067" s="1"/>
  <c r="Q170"/>
  <c r="H244"/>
  <c r="S244" s="1"/>
  <c r="Q109"/>
  <c r="S82"/>
  <c r="Q125"/>
  <c r="Q115"/>
  <c r="P687"/>
  <c r="H1082"/>
  <c r="S1082" s="1"/>
  <c r="Q173"/>
  <c r="G25"/>
  <c r="R344"/>
  <c r="Q344"/>
  <c r="Q634"/>
  <c r="K611"/>
  <c r="H598"/>
  <c r="S598" s="1"/>
  <c r="M25"/>
  <c r="H21"/>
  <c r="S21" s="1"/>
  <c r="H56"/>
  <c r="I68"/>
  <c r="M68"/>
  <c r="H58"/>
  <c r="Q97"/>
  <c r="H97"/>
  <c r="Q100"/>
  <c r="H100"/>
  <c r="Q104"/>
  <c r="H104"/>
  <c r="Q154"/>
  <c r="S154"/>
  <c r="P388"/>
  <c r="Q388"/>
  <c r="K432"/>
  <c r="H429"/>
  <c r="S429" s="1"/>
  <c r="P684"/>
  <c r="Q684"/>
  <c r="H1086"/>
  <c r="K1090"/>
  <c r="I309"/>
  <c r="I313" s="1"/>
  <c r="H307"/>
  <c r="Q307" s="1"/>
  <c r="Q309" s="1"/>
  <c r="Q313" s="1"/>
  <c r="H1002"/>
  <c r="Q1002" s="1"/>
  <c r="O1010"/>
  <c r="Q81"/>
  <c r="H81"/>
  <c r="S95"/>
  <c r="H95"/>
  <c r="H146"/>
  <c r="I218"/>
  <c r="H228"/>
  <c r="S228" s="1"/>
  <c r="J233"/>
  <c r="K375"/>
  <c r="H374"/>
  <c r="S374" s="1"/>
  <c r="S375" s="1"/>
  <c r="K550"/>
  <c r="H540"/>
  <c r="S540" s="1"/>
  <c r="H732"/>
  <c r="S732" s="1"/>
  <c r="H109"/>
  <c r="H305"/>
  <c r="S305" s="1"/>
  <c r="H79"/>
  <c r="Q79"/>
  <c r="S122"/>
  <c r="H334"/>
  <c r="S334" s="1"/>
  <c r="H129"/>
  <c r="Q176"/>
  <c r="S104"/>
  <c r="H125"/>
  <c r="H1125"/>
  <c r="S1125" s="1"/>
  <c r="H589"/>
  <c r="S97"/>
  <c r="H1099"/>
  <c r="H339"/>
  <c r="S339" s="1"/>
  <c r="S164"/>
  <c r="H101"/>
  <c r="H221"/>
  <c r="S221" s="1"/>
  <c r="H222"/>
  <c r="S222" s="1"/>
  <c r="H264"/>
  <c r="S264" s="1"/>
  <c r="J284"/>
  <c r="F344"/>
  <c r="M344"/>
  <c r="H342"/>
  <c r="O376"/>
  <c r="J538"/>
  <c r="P668"/>
  <c r="F668"/>
  <c r="H675"/>
  <c r="S675" s="1"/>
  <c r="H1007"/>
  <c r="Q1007" s="1"/>
  <c r="P313"/>
  <c r="L344"/>
  <c r="P660"/>
  <c r="H601"/>
  <c r="S601" s="1"/>
  <c r="H1088"/>
  <c r="S1088" s="1"/>
  <c r="G660"/>
  <c r="N376"/>
  <c r="J1013"/>
  <c r="J1017" s="1"/>
  <c r="H666"/>
  <c r="N218"/>
  <c r="O266"/>
  <c r="M299"/>
  <c r="M313" s="1"/>
  <c r="G375"/>
  <c r="G376" s="1"/>
  <c r="O421"/>
  <c r="H527"/>
  <c r="S527" s="1"/>
  <c r="H605"/>
  <c r="S605" s="1"/>
  <c r="H610"/>
  <c r="S610" s="1"/>
  <c r="N615"/>
  <c r="H614"/>
  <c r="S614" s="1"/>
  <c r="H676"/>
  <c r="S676" s="1"/>
  <c r="K1153"/>
  <c r="K1154" s="1"/>
  <c r="H1182"/>
  <c r="F1109"/>
  <c r="H1166"/>
  <c r="Q1166" s="1"/>
  <c r="P344"/>
  <c r="F660"/>
  <c r="J660"/>
  <c r="N660"/>
  <c r="I688"/>
  <c r="M688"/>
  <c r="I633"/>
  <c r="I634" s="1"/>
  <c r="H1152"/>
  <c r="S1152" s="1"/>
  <c r="H641"/>
  <c r="K641"/>
  <c r="Q681"/>
  <c r="J266"/>
  <c r="K284"/>
  <c r="K309"/>
  <c r="N344"/>
  <c r="J344"/>
  <c r="J376"/>
  <c r="S572"/>
  <c r="G611"/>
  <c r="F634"/>
  <c r="L668"/>
  <c r="J1010"/>
  <c r="H1074"/>
  <c r="S1074" s="1"/>
  <c r="H747"/>
  <c r="H1160"/>
  <c r="Q1160" s="1"/>
  <c r="R634"/>
  <c r="Q660"/>
  <c r="O196"/>
  <c r="H196" s="1"/>
  <c r="S196" s="1"/>
  <c r="Q572"/>
  <c r="Q1048"/>
  <c r="Q1058" s="1"/>
  <c r="H271"/>
  <c r="S271" s="1"/>
  <c r="I284"/>
  <c r="H286"/>
  <c r="N290"/>
  <c r="O587"/>
  <c r="H574"/>
  <c r="S103"/>
  <c r="H103"/>
  <c r="Q103"/>
  <c r="H169"/>
  <c r="Q169"/>
  <c r="S169"/>
  <c r="S269"/>
  <c r="S401"/>
  <c r="K629"/>
  <c r="H621"/>
  <c r="S621" s="1"/>
  <c r="H653"/>
  <c r="S653" s="1"/>
  <c r="K656"/>
  <c r="Q686"/>
  <c r="P686"/>
  <c r="Q668"/>
  <c r="I524"/>
  <c r="I233"/>
  <c r="Q83"/>
  <c r="H83"/>
  <c r="S83"/>
  <c r="S335"/>
  <c r="K409"/>
  <c r="H404"/>
  <c r="S404" s="1"/>
  <c r="H637"/>
  <c r="K638"/>
  <c r="H1003"/>
  <c r="Q1003" s="1"/>
  <c r="M1010"/>
  <c r="S85"/>
  <c r="Q85"/>
  <c r="O187"/>
  <c r="H187" s="1"/>
  <c r="S187" s="1"/>
  <c r="L218"/>
  <c r="S19"/>
  <c r="S128"/>
  <c r="Q128"/>
  <c r="H131"/>
  <c r="Q131"/>
  <c r="Q135"/>
  <c r="S135"/>
  <c r="H158"/>
  <c r="S158"/>
  <c r="Q158"/>
  <c r="S167"/>
  <c r="Q167"/>
  <c r="H167"/>
  <c r="S1129"/>
  <c r="S1131" s="1"/>
  <c r="H1131"/>
  <c r="I1177"/>
  <c r="H85"/>
  <c r="S80"/>
  <c r="Q80"/>
  <c r="M421"/>
  <c r="H419"/>
  <c r="S419" s="1"/>
  <c r="M709"/>
  <c r="O70"/>
  <c r="K218"/>
  <c r="O107"/>
  <c r="H107" s="1"/>
  <c r="S107" s="1"/>
  <c r="H126"/>
  <c r="S126"/>
  <c r="S153"/>
  <c r="H153"/>
  <c r="Q153"/>
  <c r="Q159"/>
  <c r="H159"/>
  <c r="O197"/>
  <c r="H197" s="1"/>
  <c r="S197" s="1"/>
  <c r="H209"/>
  <c r="Q209"/>
  <c r="H572"/>
  <c r="M558"/>
  <c r="M572" s="1"/>
  <c r="S648"/>
  <c r="S650" s="1"/>
  <c r="H650"/>
  <c r="S412"/>
  <c r="M284"/>
  <c r="Q88"/>
  <c r="O524"/>
  <c r="J611"/>
  <c r="H287"/>
  <c r="S287" s="1"/>
  <c r="H119"/>
  <c r="H50"/>
  <c r="S50" s="1"/>
  <c r="H156"/>
  <c r="H199"/>
  <c r="S199" s="1"/>
  <c r="H301"/>
  <c r="M550"/>
  <c r="S27"/>
  <c r="H47"/>
  <c r="M52"/>
  <c r="H77"/>
  <c r="S77"/>
  <c r="Q77"/>
  <c r="S133"/>
  <c r="Q133"/>
  <c r="Q166"/>
  <c r="H166"/>
  <c r="Q386"/>
  <c r="P386"/>
  <c r="J524"/>
  <c r="H485"/>
  <c r="S485" s="1"/>
  <c r="S524" s="1"/>
  <c r="I587"/>
  <c r="H576"/>
  <c r="S576" s="1"/>
  <c r="K1010"/>
  <c r="S1137"/>
  <c r="K68"/>
  <c r="H64"/>
  <c r="Q87"/>
  <c r="S87"/>
  <c r="Q90"/>
  <c r="S90"/>
  <c r="H90"/>
  <c r="Q96"/>
  <c r="S96"/>
  <c r="H110"/>
  <c r="Q110"/>
  <c r="S113"/>
  <c r="H113"/>
  <c r="S121"/>
  <c r="Q121"/>
  <c r="H151"/>
  <c r="Q151"/>
  <c r="K241"/>
  <c r="H235"/>
  <c r="K332"/>
  <c r="K344" s="1"/>
  <c r="H329"/>
  <c r="H367"/>
  <c r="S367" s="1"/>
  <c r="M369"/>
  <c r="M376" s="1"/>
  <c r="I432"/>
  <c r="H423"/>
  <c r="O108"/>
  <c r="H108" s="1"/>
  <c r="S108" s="1"/>
  <c r="H111"/>
  <c r="S111" s="1"/>
  <c r="J218"/>
  <c r="S176"/>
  <c r="K42"/>
  <c r="H88"/>
  <c r="I1131"/>
  <c r="H347"/>
  <c r="K709"/>
  <c r="H124"/>
  <c r="S116"/>
  <c r="S124"/>
  <c r="Q174"/>
  <c r="H223"/>
  <c r="O313"/>
  <c r="I362"/>
  <c r="H487"/>
  <c r="I599"/>
  <c r="H1162"/>
  <c r="Q1162" s="1"/>
  <c r="H917"/>
  <c r="S917" s="1"/>
  <c r="H941"/>
  <c r="S941" s="1"/>
  <c r="H1151"/>
  <c r="L376"/>
  <c r="I421"/>
  <c r="K524"/>
  <c r="K538"/>
  <c r="H1168"/>
  <c r="Q1168" s="1"/>
  <c r="G344"/>
  <c r="H1159"/>
  <c r="Q1159" s="1"/>
  <c r="H1167"/>
  <c r="Q1167" s="1"/>
  <c r="P634"/>
  <c r="J634"/>
  <c r="N634"/>
  <c r="S628"/>
  <c r="A54" l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5" s="1"/>
  <c r="A236" s="1"/>
  <c r="A237" s="1"/>
  <c r="A238" s="1"/>
  <c r="A239" s="1"/>
  <c r="A240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3" s="1"/>
  <c r="A264" s="1"/>
  <c r="A265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6" s="1"/>
  <c r="A287" s="1"/>
  <c r="A288" s="1"/>
  <c r="A289" s="1"/>
  <c r="A294" s="1"/>
  <c r="A295" s="1"/>
  <c r="A296" s="1"/>
  <c r="A297" s="1"/>
  <c r="A298" s="1"/>
  <c r="A301" s="1"/>
  <c r="A302" s="1"/>
  <c r="A303" s="1"/>
  <c r="A304" s="1"/>
  <c r="A305" s="1"/>
  <c r="A306" s="1"/>
  <c r="A307" s="1"/>
  <c r="A308" s="1"/>
  <c r="A311" s="1"/>
  <c r="A316" s="1"/>
  <c r="A319" s="1"/>
  <c r="A322" s="1"/>
  <c r="A323" s="1"/>
  <c r="A324" s="1"/>
  <c r="A325" s="1"/>
  <c r="A328" s="1"/>
  <c r="A329" s="1"/>
  <c r="A330" s="1"/>
  <c r="A331" s="1"/>
  <c r="A334" s="1"/>
  <c r="A335" s="1"/>
  <c r="A338" s="1"/>
  <c r="A339" s="1"/>
  <c r="A342" s="1"/>
  <c r="A347" s="1"/>
  <c r="A352" s="1"/>
  <c r="A353" s="1"/>
  <c r="A354" s="1"/>
  <c r="A355" s="1"/>
  <c r="A356" s="1"/>
  <c r="A357" s="1"/>
  <c r="A358" s="1"/>
  <c r="A359" s="1"/>
  <c r="A360" s="1"/>
  <c r="A361" s="1"/>
  <c r="A364" s="1"/>
  <c r="A365" s="1"/>
  <c r="A366" s="1"/>
  <c r="A367" s="1"/>
  <c r="A368" s="1"/>
  <c r="A371" s="1"/>
  <c r="A372" s="1"/>
  <c r="A373" s="1"/>
  <c r="A374" s="1"/>
  <c r="A379" s="1"/>
  <c r="A380" s="1"/>
  <c r="Q761"/>
  <c r="Q976" s="1"/>
  <c r="H976"/>
  <c r="Q487"/>
  <c r="Q524" s="1"/>
  <c r="S1141"/>
  <c r="S1142" s="1"/>
  <c r="H1142"/>
  <c r="S1184"/>
  <c r="Q1010"/>
  <c r="H1186"/>
  <c r="H1187" s="1"/>
  <c r="A761"/>
  <c r="H1084"/>
  <c r="S1102"/>
  <c r="S1108" s="1"/>
  <c r="H1108"/>
  <c r="H744"/>
  <c r="I376"/>
  <c r="I16" s="1"/>
  <c r="N16"/>
  <c r="P398"/>
  <c r="M16"/>
  <c r="N697"/>
  <c r="O697"/>
  <c r="P16"/>
  <c r="J16"/>
  <c r="F16"/>
  <c r="R16"/>
  <c r="G16"/>
  <c r="M697"/>
  <c r="K1146"/>
  <c r="K697" s="1"/>
  <c r="L697"/>
  <c r="S976"/>
  <c r="H1010"/>
  <c r="A46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40" s="1"/>
  <c r="A541" s="1"/>
  <c r="A542" s="1"/>
  <c r="A543" s="1"/>
  <c r="A544" s="1"/>
  <c r="A545" s="1"/>
  <c r="A546" s="1"/>
  <c r="A547" s="1"/>
  <c r="A548" s="1"/>
  <c r="A549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9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3" s="1"/>
  <c r="A614" s="1"/>
  <c r="A618" s="1"/>
  <c r="A621" s="1"/>
  <c r="A622" s="1"/>
  <c r="A623" s="1"/>
  <c r="A624" s="1"/>
  <c r="A625" s="1"/>
  <c r="A626" s="1"/>
  <c r="A627" s="1"/>
  <c r="A628" s="1"/>
  <c r="A631" s="1"/>
  <c r="A632" s="1"/>
  <c r="A637" s="1"/>
  <c r="A640" s="1"/>
  <c r="A643" s="1"/>
  <c r="A644" s="1"/>
  <c r="A647" s="1"/>
  <c r="A648" s="1"/>
  <c r="A649" s="1"/>
  <c r="A652" s="1"/>
  <c r="A653" s="1"/>
  <c r="A654" s="1"/>
  <c r="A655" s="1"/>
  <c r="P538"/>
  <c r="H659"/>
  <c r="H695"/>
  <c r="H241"/>
  <c r="H1145"/>
  <c r="K634"/>
  <c r="S688"/>
  <c r="S340"/>
  <c r="S1084"/>
  <c r="G697"/>
  <c r="S42"/>
  <c r="F697"/>
  <c r="R697"/>
  <c r="S284"/>
  <c r="S266"/>
  <c r="P697"/>
  <c r="H266"/>
  <c r="Q538"/>
  <c r="S25"/>
  <c r="S663"/>
  <c r="S664" s="1"/>
  <c r="H664"/>
  <c r="H42"/>
  <c r="S326"/>
  <c r="H538"/>
  <c r="S615"/>
  <c r="H320"/>
  <c r="S319"/>
  <c r="S320" s="1"/>
  <c r="H326"/>
  <c r="Q709"/>
  <c r="Q688"/>
  <c r="I1146"/>
  <c r="I697" s="1"/>
  <c r="H261"/>
  <c r="S362"/>
  <c r="S1010"/>
  <c r="S1058"/>
  <c r="H1139"/>
  <c r="P688"/>
  <c r="S629"/>
  <c r="S634" s="1"/>
  <c r="H68"/>
  <c r="S550"/>
  <c r="S432"/>
  <c r="S731"/>
  <c r="S744" s="1"/>
  <c r="H317"/>
  <c r="S316"/>
  <c r="S317" s="1"/>
  <c r="S746"/>
  <c r="S759" s="1"/>
  <c r="H759"/>
  <c r="K376"/>
  <c r="H362"/>
  <c r="H1115"/>
  <c r="H729"/>
  <c r="H629"/>
  <c r="H634" s="1"/>
  <c r="H550"/>
  <c r="S1120"/>
  <c r="S1121" s="1"/>
  <c r="S261"/>
  <c r="H1058"/>
  <c r="J1116"/>
  <c r="J1146" s="1"/>
  <c r="J697" s="1"/>
  <c r="Q1177"/>
  <c r="H432"/>
  <c r="H25"/>
  <c r="H336"/>
  <c r="K313"/>
  <c r="K16" s="1"/>
  <c r="S538"/>
  <c r="S1139"/>
  <c r="S656"/>
  <c r="S1182"/>
  <c r="H1100"/>
  <c r="H1109" s="1"/>
  <c r="S1099"/>
  <c r="S1100" s="1"/>
  <c r="H667"/>
  <c r="S666"/>
  <c r="S667" s="1"/>
  <c r="S342"/>
  <c r="S343" s="1"/>
  <c r="H343"/>
  <c r="H340"/>
  <c r="Q398"/>
  <c r="S369"/>
  <c r="H688"/>
  <c r="H615"/>
  <c r="K660"/>
  <c r="S643"/>
  <c r="S645" s="1"/>
  <c r="H645"/>
  <c r="S311"/>
  <c r="S312" s="1"/>
  <c r="H312"/>
  <c r="S1086"/>
  <c r="S1090" s="1"/>
  <c r="H1090"/>
  <c r="H1013"/>
  <c r="H1017" s="1"/>
  <c r="S589"/>
  <c r="S590" s="1"/>
  <c r="H590"/>
  <c r="S380"/>
  <c r="S381" s="1"/>
  <c r="S382" s="1"/>
  <c r="H381"/>
  <c r="H382" s="1"/>
  <c r="S729"/>
  <c r="S218"/>
  <c r="S421"/>
  <c r="H375"/>
  <c r="H421"/>
  <c r="S336"/>
  <c r="S301"/>
  <c r="S309" s="1"/>
  <c r="H309"/>
  <c r="S1151"/>
  <c r="S1153" s="1"/>
  <c r="S1154" s="1"/>
  <c r="H1153"/>
  <c r="H1154" s="1"/>
  <c r="S223"/>
  <c r="S233" s="1"/>
  <c r="H233"/>
  <c r="S47"/>
  <c r="S52" s="1"/>
  <c r="H52"/>
  <c r="S1126"/>
  <c r="H1126"/>
  <c r="S574"/>
  <c r="S587" s="1"/>
  <c r="H587"/>
  <c r="O218"/>
  <c r="O16" s="1"/>
  <c r="H70"/>
  <c r="H218" s="1"/>
  <c r="H290"/>
  <c r="H291" s="1"/>
  <c r="S286"/>
  <c r="S290" s="1"/>
  <c r="S291" s="1"/>
  <c r="S409"/>
  <c r="H369"/>
  <c r="H409"/>
  <c r="H348"/>
  <c r="H349" s="1"/>
  <c r="S347"/>
  <c r="S348" s="1"/>
  <c r="S349" s="1"/>
  <c r="S329"/>
  <c r="S332" s="1"/>
  <c r="H332"/>
  <c r="H599"/>
  <c r="I611"/>
  <c r="H638"/>
  <c r="S637"/>
  <c r="S638" s="1"/>
  <c r="N291"/>
  <c r="Q218"/>
  <c r="Q16" s="1"/>
  <c r="H524"/>
  <c r="H1177"/>
  <c r="H656"/>
  <c r="H709"/>
  <c r="H284"/>
  <c r="H1116" l="1"/>
  <c r="S1115"/>
  <c r="S1186"/>
  <c r="Q384"/>
  <c r="A762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658"/>
  <c r="A663" s="1"/>
  <c r="A666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91" s="1"/>
  <c r="A692" s="1"/>
  <c r="A693" s="1"/>
  <c r="A694" s="1"/>
  <c r="P384"/>
  <c r="S1109"/>
  <c r="H668"/>
  <c r="S376"/>
  <c r="H376"/>
  <c r="S668"/>
  <c r="H1146"/>
  <c r="S344"/>
  <c r="S1187"/>
  <c r="S660"/>
  <c r="H344"/>
  <c r="S1013"/>
  <c r="S1017" s="1"/>
  <c r="H313"/>
  <c r="H16" s="1"/>
  <c r="S313"/>
  <c r="H660"/>
  <c r="S599"/>
  <c r="S611" s="1"/>
  <c r="H611"/>
  <c r="Q1115" l="1"/>
  <c r="Q1116" s="1"/>
  <c r="Q1146" s="1"/>
  <c r="Q697" s="1"/>
  <c r="S1116"/>
  <c r="S1146" s="1"/>
  <c r="A789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H697"/>
  <c r="S16"/>
  <c r="S697"/>
  <c r="A803" l="1"/>
  <c r="A804" s="1"/>
  <c r="A805" s="1"/>
  <c r="A806" s="1"/>
  <c r="A807" s="1"/>
  <c r="F384"/>
  <c r="F15" s="1"/>
  <c r="G384"/>
  <c r="G15" s="1"/>
  <c r="L384"/>
  <c r="L15" s="1"/>
  <c r="S384"/>
  <c r="S15" s="1"/>
  <c r="J384"/>
  <c r="J15" s="1"/>
  <c r="M384"/>
  <c r="M15" s="1"/>
  <c r="Q15"/>
  <c r="N384"/>
  <c r="N15" s="1"/>
  <c r="I384"/>
  <c r="I15" s="1"/>
  <c r="K384"/>
  <c r="K15" s="1"/>
  <c r="O384"/>
  <c r="O15" s="1"/>
  <c r="H384"/>
  <c r="H15" s="1"/>
  <c r="R384"/>
  <c r="R15" s="1"/>
  <c r="P15"/>
  <c r="L313" l="1"/>
  <c r="L16" s="1"/>
  <c r="A808" l="1"/>
  <c r="A809" s="1"/>
  <c r="A810" s="1"/>
  <c r="A811" s="1"/>
  <c r="A812" s="1"/>
  <c r="A813" s="1"/>
  <c r="A814" l="1"/>
  <c r="A815" s="1"/>
  <c r="A816" s="1"/>
  <c r="A817" s="1"/>
  <c r="A818" s="1"/>
  <c r="A819" s="1"/>
  <c r="A820" s="1"/>
  <c r="A821" s="1"/>
  <c r="A822" s="1"/>
  <c r="A823" l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l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l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l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2" s="1"/>
  <c r="A1013" s="1"/>
  <c r="A1014" s="1"/>
  <c r="A1015" s="1"/>
  <c r="A1016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60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l="1"/>
  <c r="A1077" s="1"/>
  <c r="A1078" s="1"/>
  <c r="A1079" s="1"/>
  <c r="A1080" s="1"/>
  <c r="A1081" s="1"/>
  <c r="A1082" s="1"/>
  <c r="A1083" s="1"/>
  <c r="A1086" s="1"/>
  <c r="A1087" s="1"/>
  <c r="A1088" s="1"/>
  <c r="A1093" s="1"/>
  <c r="A1094" s="1"/>
  <c r="A1095" s="1"/>
  <c r="A1096" l="1"/>
  <c r="A1099" s="1"/>
  <c r="A1102" s="1"/>
  <c r="A1103" s="1"/>
  <c r="A1104" s="1"/>
  <c r="A1105" s="1"/>
  <c r="A1106" s="1"/>
  <c r="A1107" s="1"/>
  <c r="A1112" s="1"/>
  <c r="A1113" s="1"/>
  <c r="A1114" s="1"/>
  <c r="A1115" s="1"/>
  <c r="A1118" s="1"/>
  <c r="A1119" s="1"/>
  <c r="A1120" s="1"/>
  <c r="A1123" s="1"/>
  <c r="A1124" s="1"/>
  <c r="A1125" s="1"/>
  <c r="A1128" s="1"/>
  <c r="A1129" s="1"/>
  <c r="A1130" s="1"/>
  <c r="A1133" s="1"/>
  <c r="A1134" s="1"/>
  <c r="A1135" s="1"/>
  <c r="A1136" s="1"/>
  <c r="A1137" s="1"/>
  <c r="A1138" s="1"/>
  <c r="A1141" s="1"/>
  <c r="A1144" s="1"/>
  <c r="A1149" s="1"/>
  <c r="A1150" s="1"/>
  <c r="A1151" s="1"/>
  <c r="A1152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80" s="1"/>
  <c r="A1181" s="1"/>
  <c r="A1182" s="1"/>
  <c r="A1183" s="1"/>
  <c r="A1184" s="1"/>
  <c r="A1185" s="1"/>
</calcChain>
</file>

<file path=xl/sharedStrings.xml><?xml version="1.0" encoding="utf-8"?>
<sst xmlns="http://schemas.openxmlformats.org/spreadsheetml/2006/main" count="1505" uniqueCount="1095">
  <si>
    <t>Мурманской области</t>
  </si>
  <si>
    <t>Адресный перечень многоквартирных домов, в отношении которых планируется проведение капитального ремонта общего имущества</t>
  </si>
  <si>
    <t>№ п/п</t>
  </si>
  <si>
    <t>Адрес МКД</t>
  </si>
  <si>
    <t>Год ввода в эксплуатацию</t>
  </si>
  <si>
    <t>Объекты культурного наследия</t>
  </si>
  <si>
    <t xml:space="preserve">Способ формирования фонда капитального ремонта - спецсчет </t>
  </si>
  <si>
    <t>Общая площадь МКД, всего</t>
  </si>
  <si>
    <t>Общая площадь помещений МКД, всего</t>
  </si>
  <si>
    <t>Стоимость капитального ремонта*</t>
  </si>
  <si>
    <t>Год начала работ</t>
  </si>
  <si>
    <t>Год завершения работ</t>
  </si>
  <si>
    <t>Всего: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</si>
  <si>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</si>
  <si>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</si>
  <si>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</si>
  <si>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</si>
  <si>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</si>
  <si>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</si>
  <si>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Разработка проектной документации</t>
  </si>
  <si>
    <t>В том числе: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</si>
  <si>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</si>
  <si>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</si>
  <si>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</si>
  <si>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</si>
  <si>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кв.м</t>
  </si>
  <si>
    <t>руб.</t>
  </si>
  <si>
    <t>1</t>
  </si>
  <si>
    <t>2</t>
  </si>
  <si>
    <t>3</t>
  </si>
  <si>
    <t>Итого по Мурманской области на 2020-2022 годы:</t>
  </si>
  <si>
    <t>Х</t>
  </si>
  <si>
    <t>Итого по Мурманской области на 2020 год:</t>
  </si>
  <si>
    <t>п. Видяево, ул. Заречная, д. 36</t>
  </si>
  <si>
    <t>п. Видяево, ул. Заречная, д. 19</t>
  </si>
  <si>
    <t>п. Видяево, ул. Заречная, д. 41</t>
  </si>
  <si>
    <t>п. Видяево, ул. Заречная, д. 52</t>
  </si>
  <si>
    <t>п. Видяево, ул. Заречная, д. 25</t>
  </si>
  <si>
    <t>п. Видяево, ул. Заречная, д. 31</t>
  </si>
  <si>
    <t>п. Видяево, ул. Заречная, д. 8</t>
  </si>
  <si>
    <t>Итого по муниципальному образованию на 2020 год:</t>
  </si>
  <si>
    <t>Муниципальное образование город Апатиты с подведомственной территорией</t>
  </si>
  <si>
    <t>г. Апатиты, ул. Бредова, д. 21</t>
  </si>
  <si>
    <t>г. Апатиты, ул. Бредова, д. 23</t>
  </si>
  <si>
    <t>г. Апатиты, ул. Северная, д. 13</t>
  </si>
  <si>
    <t>г. Апатиты, ул. Космонавтов, д. 18</t>
  </si>
  <si>
    <t>г. Апатиты, ул. Космонавтов, д. 20</t>
  </si>
  <si>
    <t>г. Апатиты, ул. Космонавтов, д. 24</t>
  </si>
  <si>
    <t>г. Апатиты, ул. Космонавтов, д. 26</t>
  </si>
  <si>
    <t>г. Апатиты, ул. Космонавтов, д. 28</t>
  </si>
  <si>
    <t>г. Апатиты, ул. Ленина, д. 9а</t>
  </si>
  <si>
    <t>г. Апатиты, ул. Ленина, д. 18</t>
  </si>
  <si>
    <t>г. Апатиты, ул. Ферсмана, д. 7</t>
  </si>
  <si>
    <t>г. Апатиты, ул. Ферсмана, д. 16</t>
  </si>
  <si>
    <t>г. Апатиты, ул. Ферсмана, д. 29</t>
  </si>
  <si>
    <t>г. Апатиты, ул. Ферсмана, д. 31</t>
  </si>
  <si>
    <t>г. Апатиты, ул. Фестивальная, д. 6</t>
  </si>
  <si>
    <t>Муниципальное образование город Кировск с подведомственной территорией</t>
  </si>
  <si>
    <t>г. Кировск, пр. Ленина, д. 13</t>
  </si>
  <si>
    <t>-</t>
  </si>
  <si>
    <t>г. Кировск, пр. Ленина, д. 19</t>
  </si>
  <si>
    <t>г. Кировск, пр. Ленина, д. 23</t>
  </si>
  <si>
    <t>г. Кировск, пр. Ленина, д. 3</t>
  </si>
  <si>
    <t>г. Кировск, пр. Ленина, д. 5</t>
  </si>
  <si>
    <t>г. Кировск, пр. Ленина, д. 9 а</t>
  </si>
  <si>
    <t>г. Кировск, ул. Кирова, д. 17</t>
  </si>
  <si>
    <t>г. Кировск, ул. Кирова, д. 21</t>
  </si>
  <si>
    <t>г. Кировск, ул. Кирова, д. 37</t>
  </si>
  <si>
    <t>г. Кировск, ул. Мира, д. 8а</t>
  </si>
  <si>
    <t>г. Кировск, ул. Хибиногорская, д. 30</t>
  </si>
  <si>
    <t>1958-1960</t>
  </si>
  <si>
    <t>Муниципальное образование город Мончегорск с подведомственной территорией</t>
  </si>
  <si>
    <t xml:space="preserve">г. Мончегорск, пр. Металлургов, д. 70/22 </t>
  </si>
  <si>
    <t xml:space="preserve">г. Мончегорск, ул. Комарова, д. 25 </t>
  </si>
  <si>
    <t xml:space="preserve">г. Мончегорск, пр. Металлургов, д. 27 </t>
  </si>
  <si>
    <t xml:space="preserve">г. Мончегорск, Ленинградская набережная, д. 4а </t>
  </si>
  <si>
    <t>г. Мончегорск, ул. Советская, д. 12</t>
  </si>
  <si>
    <t>г. Мончегорск, Комсомольская наб., д. 60</t>
  </si>
  <si>
    <t>г. Мончегорск, ул. Бредова, д. 15</t>
  </si>
  <si>
    <t>г. Мончегорск, ул. Бредова, д. 5а</t>
  </si>
  <si>
    <t>г. Мончегорск, пр. Металлургов, д. 68</t>
  </si>
  <si>
    <t>г. Мончегорск, пр. Металлургов, д. 22</t>
  </si>
  <si>
    <t>г. Мончегорск, ул. Гагарина, д. 20</t>
  </si>
  <si>
    <t>г. Мончегорск, ул. Советская, д. 10</t>
  </si>
  <si>
    <t>г. Мончегорск, ул. Комарова, д. 4</t>
  </si>
  <si>
    <t>г. Мончегорск, ул. Металлургов,49</t>
  </si>
  <si>
    <t>г. Мурманск, ул. Адмирала флота Лобова, д. 34</t>
  </si>
  <si>
    <t>г. Мурманск, ул. Адмирала флота Лобова, д. 42</t>
  </si>
  <si>
    <t>г. Мурманск, ул. Академика Книповича, д.15</t>
  </si>
  <si>
    <t>г. Мурманск, ул. Академика Книповича, д.33/1</t>
  </si>
  <si>
    <t>г. Мурманск, ул. Академика Павлова, д. 59</t>
  </si>
  <si>
    <t>г. Мурманск, ул. Александра Невского, д. 97/60</t>
  </si>
  <si>
    <t>г. Мурманск, ул. Алексея Генералова, д. 13</t>
  </si>
  <si>
    <t>г. Мурманск, ул. Бабикова, д. 9</t>
  </si>
  <si>
    <t>г. Мурманск, ул. Баумана, д. 2</t>
  </si>
  <si>
    <t>г. Мурманск, ул. Баумана, д. 12</t>
  </si>
  <si>
    <t>г. Мурманск, ул. Баумана, д. 20</t>
  </si>
  <si>
    <t>г. Мурманск, ул. Баумана, д. 27</t>
  </si>
  <si>
    <t>г. Мурманск, ул. Баумана, д. 28</t>
  </si>
  <si>
    <t>г. Мурманск, ул. Баумана, д. 29</t>
  </si>
  <si>
    <t>г. Мурманск, ул. Баумана, д. 30</t>
  </si>
  <si>
    <t>г. Мурманск, ул. Баумана, д. 35</t>
  </si>
  <si>
    <t>г. Мурманск, ул. Баумана, д. 37</t>
  </si>
  <si>
    <t>г. Мурманск, ул. Баумана, д. 43/1</t>
  </si>
  <si>
    <t>г. Мурманск, ул. Баумана, д. 43/2</t>
  </si>
  <si>
    <t>г. Мурманск, ул. Баумана, д. 45</t>
  </si>
  <si>
    <t>г. Мурманск, ул. Баумана, д. 47</t>
  </si>
  <si>
    <t>г. Мурманск, ул. Беринга, д. 1</t>
  </si>
  <si>
    <t>г. Мурманск, ул. Беринга, д. 2</t>
  </si>
  <si>
    <t>г. Мурманск, ул. Беринга, д. 3</t>
  </si>
  <si>
    <t>г. Мурманск, ул. Беринга, д. 4</t>
  </si>
  <si>
    <t>г. Мурманск, ул. Беринга, д. 8</t>
  </si>
  <si>
    <t>г. Мурманск, ул. Беринга, д. 9</t>
  </si>
  <si>
    <t>г. Мурманск, ул. Беринга, д. 10</t>
  </si>
  <si>
    <t>г. Мурманск, ул. Беринга, д. 12</t>
  </si>
  <si>
    <t>г. Мурманск, ул. Беринга, д. 14</t>
  </si>
  <si>
    <t>г. Мурманск, ул. Беринга, д. 20</t>
  </si>
  <si>
    <t>г. Мурманск, ул. Беринга, д. 22</t>
  </si>
  <si>
    <t>г. Мурманск, ул. Беринга, д. 24</t>
  </si>
  <si>
    <t>г. Мурманск, ул. Беринга, д. 26</t>
  </si>
  <si>
    <t>г. Мурманск, ул. Беринга, д. 28</t>
  </si>
  <si>
    <t>г. Мурманск, ул. Бочкова, д. 8</t>
  </si>
  <si>
    <t>г. Мурманск, ул. Володарского, д. 2/12</t>
  </si>
  <si>
    <t>г. Мурманск, ул. Володарского, д. 3</t>
  </si>
  <si>
    <t>да</t>
  </si>
  <si>
    <t>г. Мурманск, ул. Володарского, д. 7</t>
  </si>
  <si>
    <t>г. Мурманск, ул. Воровского, д. 19</t>
  </si>
  <si>
    <t>г. Мурманск, ул. Воровского, д. 21</t>
  </si>
  <si>
    <t>г. Мурманск, ул. Генерала Фролова, д. 5</t>
  </si>
  <si>
    <t>г. Мурманск, ул. Достоевского, д. 1</t>
  </si>
  <si>
    <t>г. Мурманск, ул. Достоевского, д. 2</t>
  </si>
  <si>
    <t>г. Мурманск, ул. Достоевского, д. 3</t>
  </si>
  <si>
    <t>г. Мурманск, ул. Достоевского, д. 4</t>
  </si>
  <si>
    <t>г. Мурманск, ул. Достоевского, д. 5</t>
  </si>
  <si>
    <t>г. Мурманск, ул. Достоевского, д. 6</t>
  </si>
  <si>
    <t>г. Мурманск, ул. Достоевского, д. 7</t>
  </si>
  <si>
    <t>г. Мурманск, ул. Достоевского, д. 8</t>
  </si>
  <si>
    <t>г. Мурманск, ул. Достоевского, д. 9</t>
  </si>
  <si>
    <t>г. Мурманск, ул. Достоевского, д. 10</t>
  </si>
  <si>
    <t>г. Мурманск, ул. Достоевского, д. 11</t>
  </si>
  <si>
    <t>г. Мурманск, ул. Достоевского, д. 13</t>
  </si>
  <si>
    <t>г. Мурманск, ул. Достоевского, д. 15</t>
  </si>
  <si>
    <t>г. Мурманск, ул. Достоевского, д. 18</t>
  </si>
  <si>
    <t>г. Мурманск, ул. Достоевского, д. 20</t>
  </si>
  <si>
    <t>г. Мурманск, ул. Достоевского, д. 21</t>
  </si>
  <si>
    <t>г. Мурманск, ул. Достоевского, д. 26</t>
  </si>
  <si>
    <t>г. Мурманск, ул. Достоевского, д. 27</t>
  </si>
  <si>
    <t>г. Мурманск, ул. Достоевского, д. 28</t>
  </si>
  <si>
    <t>г. Мурманск, ул. Достоевского, д. 29</t>
  </si>
  <si>
    <t>г. Мурманск, ул. Достоевского, д. 30</t>
  </si>
  <si>
    <t>г. Мурманск, ул. Достоевского, д. 31</t>
  </si>
  <si>
    <t>г. Мурманск, ул. Загородная, д.19</t>
  </si>
  <si>
    <t>г. Мурманск, ул. Ивченко, д. 5</t>
  </si>
  <si>
    <t>г. Мурманск, ул. Ивченко, д. 9</t>
  </si>
  <si>
    <t>г. Мурманск, ул. Ивченко, д. 17</t>
  </si>
  <si>
    <t>г. Мурманск, ул. Капитана Буркова, д.39</t>
  </si>
  <si>
    <t>г. Мурманск, ул. Капитана Буркова, д.49</t>
  </si>
  <si>
    <t>г. Мурманск, ул. Капитана Тарана, д.14</t>
  </si>
  <si>
    <t>г. Мурманск, ул. Капитана Тарана, д.17</t>
  </si>
  <si>
    <t>г. Мурманск, ул. Капитана Тарана, д.20</t>
  </si>
  <si>
    <t>г. Мурманск, ул. Карла Либкнехта, д. 23</t>
  </si>
  <si>
    <t>г. Мурманск, ул. Карла Либкнехта, д. 25</t>
  </si>
  <si>
    <t>г. Мурманск, ул. Карла Маркса, д. 25</t>
  </si>
  <si>
    <t>г. Мурманск, пр. Кирова, д. 20</t>
  </si>
  <si>
    <t>г. Мурманск, пр. Кирова, д. 20а</t>
  </si>
  <si>
    <t>г. Мурманск, пр. Кирова, д. 28</t>
  </si>
  <si>
    <t>г. Мурманск, пр. Кирова, д. 53</t>
  </si>
  <si>
    <t>г. Мурманск, пр. Кирова, д. 53 а</t>
  </si>
  <si>
    <t>г. Мурманск, пр. Кольский, д. 103</t>
  </si>
  <si>
    <t>г. Мурманск, пр. Кольский, д. 107</t>
  </si>
  <si>
    <t>г. Мурманск, пр. Кольский, д. 109</t>
  </si>
  <si>
    <t>г. Мурманск, пр. Кольский, д. 111</t>
  </si>
  <si>
    <t>г. Мурманск, пр. Кольский, д. 113</t>
  </si>
  <si>
    <t>г. Мурманск, пр. Кольский, д. 133</t>
  </si>
  <si>
    <t>г. Мурманск, пр. Кольский, д. 136/1</t>
  </si>
  <si>
    <t>г. Мурманск, пр. Кольский, д. 136/2</t>
  </si>
  <si>
    <t>г. Мурманск, пр. Кольский, д. 136/3</t>
  </si>
  <si>
    <t>г. Мурманск, пр. Кольский, д. 136/4</t>
  </si>
  <si>
    <t>г. Мурманск, пр. Кольский, д. 136/5</t>
  </si>
  <si>
    <t>г. Мурманск, пр. Кольский, д. 138/1</t>
  </si>
  <si>
    <t>г. Мурманск, пр. Кольский, д. 138/2</t>
  </si>
  <si>
    <t>г. Мурманск, пр. Кольский, д. 139</t>
  </si>
  <si>
    <t>г. Мурманск, пр. Кольский, д. 140/1</t>
  </si>
  <si>
    <t>г. Мурманск, пр. Кольский, д. 140/2</t>
  </si>
  <si>
    <t>г. Мурманск, пр. Кольский, д. 140/3</t>
  </si>
  <si>
    <t>г. Мурманск, пр. Кольский, д. 140/5</t>
  </si>
  <si>
    <t>г. Мурманск, пр. Кольский, д. 140/6</t>
  </si>
  <si>
    <t>г. Мурманск, пр. Кольский, д. 142</t>
  </si>
  <si>
    <t>г. Мурманск, пр. Кольский, д. 144</t>
  </si>
  <si>
    <t>г. Мурманск, пр. Кольский, д. 146</t>
  </si>
  <si>
    <t>г. Мурманск, пр. Кольский, д. 148</t>
  </si>
  <si>
    <t>г. Мурманск, пр. Кольский, д. 150/1</t>
  </si>
  <si>
    <t>г. Мурманск, пр. Кольский, д. 150/2</t>
  </si>
  <si>
    <t>г. Мурманск, пр. Кольский, д. 150/3</t>
  </si>
  <si>
    <t>г. Мурманск, пр. Кольский, д. 170</t>
  </si>
  <si>
    <t>г. Мурманск,  пр-кт имени Ленина, д. 80</t>
  </si>
  <si>
    <t>г. Мурманск,  ул. Лесная, д. 12</t>
  </si>
  <si>
    <t>г. Мурманск, ул. Октябрьская, д. 1</t>
  </si>
  <si>
    <t>г. Мурманск, ул. Октябрьская, д. 24</t>
  </si>
  <si>
    <t>г. Мурманск, ул. Олега Кошевого, д. 5</t>
  </si>
  <si>
    <t>г. Мурманск, пер.Охотничий, д. 13</t>
  </si>
  <si>
    <t>г. Мурманск, пер.Охотничий, д. 17</t>
  </si>
  <si>
    <t>г. Мурманск, пер.Охотничий, д. 19</t>
  </si>
  <si>
    <t>г. Мурманск, ул. Папанина, д. 34/25</t>
  </si>
  <si>
    <t>г. Мурманск, ул. Полухина, д. 14 в</t>
  </si>
  <si>
    <t>г. Мурманск, ул. Полярной Дивизии, д. 7</t>
  </si>
  <si>
    <t>г. Мурманск, ул. Полярной Дивизии, д. 9</t>
  </si>
  <si>
    <t>г. Мурманск, ул. Полярные Зори, д. 13</t>
  </si>
  <si>
    <t>г. Мурманск, ул. Полярные Зори, д. 17/2</t>
  </si>
  <si>
    <t>г. Мурманск, ул. Радищева, д. 16</t>
  </si>
  <si>
    <t>г. Мурманск, пер. Русанова, д. 2</t>
  </si>
  <si>
    <t>г. Мурманск, пер. Русанова, д. 4</t>
  </si>
  <si>
    <t>1983</t>
  </si>
  <si>
    <t>г. Мурманск, ул. Самойловой, д. 5</t>
  </si>
  <si>
    <t>г. Мурманск, ул. Сафонова, д. 21</t>
  </si>
  <si>
    <t xml:space="preserve">г. Мурманск, ул. Сафонова, д. 30 </t>
  </si>
  <si>
    <t>г. Мурманск, пр-д Связи, д. 26</t>
  </si>
  <si>
    <t>г. Мурманск, ул. Софьи Перовской, д. 10</t>
  </si>
  <si>
    <t>г. Мурманск, ул. Фадеев Ручей, д. 24</t>
  </si>
  <si>
    <t>г. Мурманск, ул. Фрунзе, д. 21/4</t>
  </si>
  <si>
    <t>1951</t>
  </si>
  <si>
    <t>г. Мурманск,  пр-кт имени Ленина, д. 24</t>
  </si>
  <si>
    <t>г. Мурманск, пр-кт имени Ленина, д. 26</t>
  </si>
  <si>
    <t>г. Мурманск,  пр-кт имени Ленина, д. 31</t>
  </si>
  <si>
    <t>г. Мурманск,  пр-кт имени Ленина, д. 39</t>
  </si>
  <si>
    <t>г. Мурманск,  пр-кт имени Ленина, д. 51</t>
  </si>
  <si>
    <t>г. Мурманск, пр-кт имени Ленина, д. 53</t>
  </si>
  <si>
    <t>г. Мурманск,  пр-кт имени Ленина, д. 55</t>
  </si>
  <si>
    <t>г. Мурманск,  пр-кт имени Ленина, д. 68</t>
  </si>
  <si>
    <t>г. Мурманск,  пр-кт имени Ленина, д. 76</t>
  </si>
  <si>
    <t>ОКН</t>
  </si>
  <si>
    <t>г. Мурманск, ул. Самойловой, д. 1</t>
  </si>
  <si>
    <t>г. Мурманск, ул. Самойловой, д. 8</t>
  </si>
  <si>
    <t>г. Мурманск, ул. Самойловой, д. 12</t>
  </si>
  <si>
    <t>г. Мурманск, ул. Самойловой, д. 14</t>
  </si>
  <si>
    <t>г. Мурманск, ул. Шмидта, д. 21</t>
  </si>
  <si>
    <t>г. Мурманск, ул. Шмидта, д. 37</t>
  </si>
  <si>
    <t>г. Мурманск, ул. Привокзальная, д. 10</t>
  </si>
  <si>
    <t>г. Мурманск, ул. Коминтерна, д. 24</t>
  </si>
  <si>
    <t>Муниципальное образование город Оленегорск с подведомственной территорией</t>
  </si>
  <si>
    <t>г. Оленегорск, ул. Ветеранов, д. 6</t>
  </si>
  <si>
    <t>г. Оленегорск, ул. Мира, д. 17</t>
  </si>
  <si>
    <t>г. Оленегорск, ул. Мира, д. 8</t>
  </si>
  <si>
    <t>г. Оленегорск, ул. Мира, д. 9</t>
  </si>
  <si>
    <t>г. Оленегорск, ул. Мурманская, д. 7</t>
  </si>
  <si>
    <t>г. Оленегорск, ул. Парковая, д. 27</t>
  </si>
  <si>
    <t>г. Оленегорск, ул. Парковая, д. 31</t>
  </si>
  <si>
    <t>г. Оленегорск, ул. Пионерская, д. 12</t>
  </si>
  <si>
    <t>г. Оленегорск, ул. Южная, д. 3/4</t>
  </si>
  <si>
    <t>г. Оленегорск, ул. Мира, д. 40</t>
  </si>
  <si>
    <t>нп. Высокий, ул. Можаева, д. 19</t>
  </si>
  <si>
    <t>г. Оленегорск-2, ул. Ленинградская, д.2</t>
  </si>
  <si>
    <t>г. Оленегорск-2, ул. Ленинградская, д.7</t>
  </si>
  <si>
    <t>Муниципальное образование город Полярные Зори с подведомственной территорией</t>
  </si>
  <si>
    <t>г. Полярные Зори, ул. Пушкина, д. 15</t>
  </si>
  <si>
    <t>г. Полярные Зори, ул. Партизан Заполярья, д. 5</t>
  </si>
  <si>
    <t>нп. Зашеек, ул. Северная аллея, д. 5/1</t>
  </si>
  <si>
    <t>нп. Африканда, ул. Ленина, д. 2 Б</t>
  </si>
  <si>
    <t>нп. Зашеек, ул. Веденеева, д. 3</t>
  </si>
  <si>
    <t>нп.Африканда,ул. Комсомольская  д. 4</t>
  </si>
  <si>
    <t>Муниципальное образование ЗАТО Александровск</t>
  </si>
  <si>
    <t>г. Снежногорск, у. Победы, д. 3</t>
  </si>
  <si>
    <t>г. Снежногорск, ул. Октябрьская, д. 17</t>
  </si>
  <si>
    <t>г. Снежногорск, ул. П. Стеблина, д. 6</t>
  </si>
  <si>
    <t>г. Снежногорск, ул. П. Стеблина, д. 2</t>
  </si>
  <si>
    <t>н. п. Оленья Губа, ул. Дьяченко, д. 41</t>
  </si>
  <si>
    <t>г. Полярный, ул. Красный Горн, д. 15</t>
  </si>
  <si>
    <t>г. Полярный, ул. Героев "Тумана", д. 5</t>
  </si>
  <si>
    <t>г. Полярный, ул. Видяева, д. 12</t>
  </si>
  <si>
    <t>1971, 74, 76</t>
  </si>
  <si>
    <t>г. Полярный, ул. Гагарина, д. 7</t>
  </si>
  <si>
    <t>г. Полярный, ул. Сивко, д. 10</t>
  </si>
  <si>
    <t>г. Гаджиево, ул. Колышкина, д. 114</t>
  </si>
  <si>
    <t>г. Гаджиево, ул. Гаджиева, д. 42</t>
  </si>
  <si>
    <t>г. Гаджиево, ул. Гаджиева, д. 36</t>
  </si>
  <si>
    <t>г. Гаджиево, ул. Ленина, д. 58</t>
  </si>
  <si>
    <t>г. Гаджиево, ул. Колышкина, д. 130</t>
  </si>
  <si>
    <t>г. Гаджиево, ул. Колышкина, д. 131</t>
  </si>
  <si>
    <t>г. Гаджиево, ул. Душенова, д. 87</t>
  </si>
  <si>
    <t>Муниципальное образование ЗАТО город Заозерск</t>
  </si>
  <si>
    <t>г. Заозерск, ул. Строительная, д. 18</t>
  </si>
  <si>
    <t>г. Заозерск, ул. Строительная, д. 22</t>
  </si>
  <si>
    <t>г. Заозерск, ул. Флотская, д. 12</t>
  </si>
  <si>
    <t>Муниципальное образование ЗАТО город Североморск</t>
  </si>
  <si>
    <t>г. Североморск, ул. Адмирала Сизова, д. 21</t>
  </si>
  <si>
    <t>г. Североморск, ул. Адмирала Сизова, д. 22</t>
  </si>
  <si>
    <t>г. Североморск, ул. Адмирала Чабоненко, д. 5</t>
  </si>
  <si>
    <t>г. Североморск, ул. Адмирала Чабоненко, д. 7</t>
  </si>
  <si>
    <t>пгт Сафоново, ул. Капитана Елькина, д. 10</t>
  </si>
  <si>
    <t>пгт Сафоново, ул. Капитана Елькина, д. 17</t>
  </si>
  <si>
    <t>г. Североморск, ул. Кирова, д. 6</t>
  </si>
  <si>
    <t>г. Североморск, ул. Кирова, д. 8</t>
  </si>
  <si>
    <t>г. Североморск, ул. Комсомольская, д. 3</t>
  </si>
  <si>
    <t>г. Североморск, ул. Корабельная, д. 2</t>
  </si>
  <si>
    <t>г. Североморск, ул. Сафонова, д. 11</t>
  </si>
  <si>
    <t>г. Североморск, ул. Сафонова, д. 7</t>
  </si>
  <si>
    <t>г. Североморск, ул. Сафонова, д. 9</t>
  </si>
  <si>
    <t>г. Североморск, ул. Северная Застава, д. 10</t>
  </si>
  <si>
    <t>г. Североморск, ул. Северная Застава, д. 8</t>
  </si>
  <si>
    <t>г. Североморск, ул. Сивко, д. 13</t>
  </si>
  <si>
    <t>г. Ковдор, пл. Ленина, д. 4</t>
  </si>
  <si>
    <t>г. Ковдор, ул. Горняков, д. 24</t>
  </si>
  <si>
    <t>г. Ковдор, ул. Коновалова, д. 6</t>
  </si>
  <si>
    <t>г. Ковдор, ул. Сухачева, д. 9</t>
  </si>
  <si>
    <t>Муниципальное образование городское поселение Зеленоборский Кандалакшского района</t>
  </si>
  <si>
    <t>пгт Зеленоборский, ул. Заводская, д. 1</t>
  </si>
  <si>
    <t>пгт Зеленоборский, ул. Заводская, д. 2</t>
  </si>
  <si>
    <t>пгт Зеленоборский, ул. Заводская, д. 4</t>
  </si>
  <si>
    <t>пгт Зеленоборский, ул. Привокзальная, д. 3 а</t>
  </si>
  <si>
    <t>пгт Зеленоборский, ул. Привокзальная, д. 3 б</t>
  </si>
  <si>
    <t>Муниципальное образование городское поселение Кандалакша Кандалакшского района</t>
  </si>
  <si>
    <t>г.п Кандалакша, ул. Батюты, д. 29/12</t>
  </si>
  <si>
    <t>г.п Кандалакша, ул. Кандалакшское шоссе, д.25</t>
  </si>
  <si>
    <t>г.п Кандалакша, ул. Кировская аллея, д. 20</t>
  </si>
  <si>
    <t>г.п Кандалакша, ул. Кировская аллея, д.23</t>
  </si>
  <si>
    <t>г.п Кандалакша, ул. Первомайская, д. 27</t>
  </si>
  <si>
    <t>г.п Кандалакша, ул. Спекова, д.20</t>
  </si>
  <si>
    <t>г.п Кандалакша, ул. Первомайская, д.22</t>
  </si>
  <si>
    <t>г.п Кандалакша, ул. Чкалова, д.48</t>
  </si>
  <si>
    <t>Муниципальное образование сельское поселение Алакуртти Кандалакшского района</t>
  </si>
  <si>
    <t>с. Алакуртти , ул. Кузнецова д.16</t>
  </si>
  <si>
    <t>Муниципальное образование городское поселение Кильдинстрой Кольского района</t>
  </si>
  <si>
    <t>пгт Кильдинстрой, ул. Советская, д. 13</t>
  </si>
  <si>
    <t>Муниципальное образование городское поселение Кола Кольского района</t>
  </si>
  <si>
    <t>г. Кола, ул. Победы, д. 12</t>
  </si>
  <si>
    <t>Муниципальное образование городское поселение Молочный Кольского района</t>
  </si>
  <si>
    <t>пгт Молочный, ул. Заречная, д. 7</t>
  </si>
  <si>
    <t>пгт Молочный, ул. Молодежная, д. 2</t>
  </si>
  <si>
    <t>пгт Молочный, ул. Молодежная, д. 7</t>
  </si>
  <si>
    <t>пгт Молочный, ул. Молодежная, д. 8</t>
  </si>
  <si>
    <t>Муниципальное образование городское поселение Мурмаши Кольского района</t>
  </si>
  <si>
    <t>пгт Мурмаши, ул. Комсомольская, д. 4</t>
  </si>
  <si>
    <t>пгт Мурмаши, ул. Комсомольская, д. 7</t>
  </si>
  <si>
    <t>пгт Мурмаши, ул. Мира, д. 25</t>
  </si>
  <si>
    <t>пгт Мурмаши, ул. Советская, д. 10</t>
  </si>
  <si>
    <t>Муниципальное образование сельское поселение Междуречье Кольского района (полномочия переданы в Кольский район)</t>
  </si>
  <si>
    <t>нп. Мишуково, д. 1 А</t>
  </si>
  <si>
    <t>нп. Междуречье, д. 2</t>
  </si>
  <si>
    <t>Муниципальное образование сельское поселение Тулома Кольского района (полномочия переданы в Кольский район)</t>
  </si>
  <si>
    <t xml:space="preserve">с. Тулома, ул. Мира, д. 10 </t>
  </si>
  <si>
    <t>с. Тулома, ул.Школьная, д. 1</t>
  </si>
  <si>
    <t>Муниципальное образование сельское поселение Ура-Губа Кольского района (полномочия переданы в Кольский район)</t>
  </si>
  <si>
    <t xml:space="preserve">с. Ура-Губа, ул. Полярная, д. 13 </t>
  </si>
  <si>
    <t>Муниципальное образование городское поселение Ревда Ловозерского района</t>
  </si>
  <si>
    <t>пгт Ревда, ул. Умбозерская, д. 5</t>
  </si>
  <si>
    <t>Муниципальное образование городское поселение Заполярный Печенгского района</t>
  </si>
  <si>
    <t>г. Заполярный, пер. Короткий, д. 1</t>
  </si>
  <si>
    <t>1958</t>
  </si>
  <si>
    <t>г. Заполярный, пер. Советский, д. 5</t>
  </si>
  <si>
    <t>г. Заполярный, пер. Ясный, д. 6</t>
  </si>
  <si>
    <t>г. Заполярный, ул. Бабикова, д. 3</t>
  </si>
  <si>
    <t>1959</t>
  </si>
  <si>
    <t>г. Заполярный, ул. Бабикова, д. 7/1</t>
  </si>
  <si>
    <t>г. Заполярный, ул. Космонавтов, д. 6</t>
  </si>
  <si>
    <t>г. Заполярный, ул. Крупской, д. 7</t>
  </si>
  <si>
    <t>г. Заполярный, ул. Крупской, д. 9</t>
  </si>
  <si>
    <t>г. Заполярный, ул. Юбилейная, д. 1</t>
  </si>
  <si>
    <t>г. Заполярный, ул. Юбилейная, д. 3</t>
  </si>
  <si>
    <t>1967</t>
  </si>
  <si>
    <t>пгт. Никель, ул.Комсомольская, д.5</t>
  </si>
  <si>
    <t>пгт. Никель, пр-кт Гвардейский, д. 14</t>
  </si>
  <si>
    <t>пгт. Никель, пр-кт Гвардейский, д. 18</t>
  </si>
  <si>
    <t>пгт.Никель, ул. Спортивная, д.8</t>
  </si>
  <si>
    <t>пгт. Никель, пр-кт Гвардейский, д. 17</t>
  </si>
  <si>
    <t>X</t>
  </si>
  <si>
    <t xml:space="preserve">пгт Печенга, ул. Стадионная, д. 5  </t>
  </si>
  <si>
    <t xml:space="preserve">пгт Печенга, ул. Стадионная, д. 10 </t>
  </si>
  <si>
    <t>пгт Печенга, Печенгское шоссе, д. 10</t>
  </si>
  <si>
    <t xml:space="preserve">н.п. Лиинахамари, Северная, д. 2 </t>
  </si>
  <si>
    <t>Муниципальное образование городское поселение Умба Терского района</t>
  </si>
  <si>
    <t>пгт. Умба, ул. Беломорская, д. 7а</t>
  </si>
  <si>
    <t>пгт. Умба, ул. Горная, д. 33</t>
  </si>
  <si>
    <t>Итого по Мурманской области на 2021 год:</t>
  </si>
  <si>
    <t>Муниципальное образование городской округ ЗАТО поселок Видяево</t>
  </si>
  <si>
    <t>п. Видяево, ул. Заречная, д. 2</t>
  </si>
  <si>
    <t>п. Видяево, ул. Заречная, д. 7</t>
  </si>
  <si>
    <t>п. Видяево, ул. Заречная, д. 12</t>
  </si>
  <si>
    <t>п. Видяево, ул. Заречная, д. 28</t>
  </si>
  <si>
    <t>п. Видяево, ул. Заречная, д. 29</t>
  </si>
  <si>
    <t>п. Видяево, ул. Заречная, д. 34</t>
  </si>
  <si>
    <t>п. Видяево, ул. Заречная, д. 40</t>
  </si>
  <si>
    <t>п. Видяево, ул. Заречная, д. 56</t>
  </si>
  <si>
    <t>п. Видяево, ул. Заречная, д. 58</t>
  </si>
  <si>
    <t>Итого по муниципальному образованию на 2021 год:</t>
  </si>
  <si>
    <t>Муниципальное образование муниципальный округ город Апатиты с подведомственной территорией</t>
  </si>
  <si>
    <t>г. Апатиты, ул. Московская, д. 3</t>
  </si>
  <si>
    <t>г. Апатиты, ул. Московская, д. 16</t>
  </si>
  <si>
    <t>г. Апатиты, ул. Северная, д. 17</t>
  </si>
  <si>
    <t>г. Апатиты, ул. Ферсмана, д. 15</t>
  </si>
  <si>
    <t>г. Апатиты, ул. Ферсмана, д. 25</t>
  </si>
  <si>
    <t>г. Апатиты, ул. Ферсмана, д. 27</t>
  </si>
  <si>
    <t>г. Апатиты, ул. Фестивальная, д. 2</t>
  </si>
  <si>
    <t>г. Апатиты, ул. Зиновьева, д. 17</t>
  </si>
  <si>
    <t>г. Апатиты, ул. Бредова, д. 19</t>
  </si>
  <si>
    <t>Муниципальное образование муниципальный округ город Кировск с подведомственной территорией</t>
  </si>
  <si>
    <t>г. Кировск, ул. Мира, д. 4</t>
  </si>
  <si>
    <t>г. Кировск, ул. Мира, д. 17</t>
  </si>
  <si>
    <t>г. Кировск, пр. Ленина, д. 9а</t>
  </si>
  <si>
    <t>г. Кировск, ул. Хибиногорская, д. 27</t>
  </si>
  <si>
    <t>г. Кировск, ул. Хибиногорская, д. 29</t>
  </si>
  <si>
    <t>г. Кировск, ул. Хибиногорская, д. 33</t>
  </si>
  <si>
    <t>Муниципальное образование муниципальный округ город Мончегорск с подведомственной территорией</t>
  </si>
  <si>
    <t>г. Мончегорск, ул. Бредова, д. 5 а</t>
  </si>
  <si>
    <t>г. Мончегорск, ул. Гагарина, д. 2/8</t>
  </si>
  <si>
    <t>г. Мончегорск, ул. Кондрикова, д. 14</t>
  </si>
  <si>
    <t>1987/1995</t>
  </si>
  <si>
    <t>нп 25 км жд Мончегорск-Оленья, ул. Совхозная, д. 4</t>
  </si>
  <si>
    <t>н.п. 27 км ж/д Мончегорск-Оленья, ул. Октябрьская, д. 11</t>
  </si>
  <si>
    <t>н.п. 27 км ж/д Мончегорск-Оленья, ул. Октябрьская, д. 15</t>
  </si>
  <si>
    <t>Муниципальное образование городской округ город-герой Мурманск</t>
  </si>
  <si>
    <t>г. Мурманск, ул. Александрова, д. 2</t>
  </si>
  <si>
    <t>г. Мурманск, ул. Александрова, д. 4 корп. 1</t>
  </si>
  <si>
    <t>г. Мурманск, ул. Александрова, д. 6</t>
  </si>
  <si>
    <t>г. Мурманск, ул. Александрова, д. 8</t>
  </si>
  <si>
    <t>г. Мурманск, ул. Александрова, д. 10</t>
  </si>
  <si>
    <t>г. Мурманск, ул. Александрова, д. 12</t>
  </si>
  <si>
    <t>г. Мурманск, ул. Александрова, д. 14</t>
  </si>
  <si>
    <t>г. Мурманск, ул. Александрова, д. 16</t>
  </si>
  <si>
    <t>г. Мурманск, ул. Александрова, д. 18</t>
  </si>
  <si>
    <t>г. Мурманск, ул. Александрова, д. 20</t>
  </si>
  <si>
    <t>г. Мурманск, ул. Александрова, д. 22</t>
  </si>
  <si>
    <t>г. Мурманск, ул. Александрова, д. 24 корп. 1</t>
  </si>
  <si>
    <t xml:space="preserve">г. Мурманск, ул. Академика Книповича, д. 39 </t>
  </si>
  <si>
    <t>г. Мурманск, ул. Аскольдовцев, д. 3</t>
  </si>
  <si>
    <t>г. Мурманск, ул. Аскольдовцев, д. 5</t>
  </si>
  <si>
    <t>г. Мурманск, ул. Аскольдовцев, д. 11</t>
  </si>
  <si>
    <t>г. Мурманск, ул. Аскольдовцев, д. 15</t>
  </si>
  <si>
    <t>г. Мурманск, ул. Аскольдовцев, д. 17</t>
  </si>
  <si>
    <t>г. Мурманск, ул. Аскольдовцев, д. 19</t>
  </si>
  <si>
    <t>г. Мурманск, пр-д Владимира Капустина, д. 3</t>
  </si>
  <si>
    <t>г. Мурманск, ул. Володарского, д. 13</t>
  </si>
  <si>
    <t>г. Мурманск, ул. Воровского, д. 15</t>
  </si>
  <si>
    <t>г. Мурманск, ул. Воровского, д. 17</t>
  </si>
  <si>
    <t>г. Мурманск, пр-д Ивана Халатина, д. 4</t>
  </si>
  <si>
    <t>г. Мурманск, пр-д Ивана Халатина, д. 8</t>
  </si>
  <si>
    <t>г. Мурманск, пр-д Ивана Халатина, д. 10</t>
  </si>
  <si>
    <t>г. Мурманск, пр-д Ивана Халатина, д. 12</t>
  </si>
  <si>
    <t>г. Мурманск, пр-д Ивана Халатина, д. 14</t>
  </si>
  <si>
    <t>г. Мурманск, пр-д Ивана Халатина, д. 16</t>
  </si>
  <si>
    <t>г. Мурманск, пр-д Ивана Халатина, д. 19</t>
  </si>
  <si>
    <t>г. Мурманск, пр-д Ивана Халатина, д. 20</t>
  </si>
  <si>
    <t>г. Мурманск, ул. Буркова, д. 43</t>
  </si>
  <si>
    <t>г. Мурманск, ул. Карла Либкнехта, д. 31</t>
  </si>
  <si>
    <t>г. Мурманск, ул. Карла Либкнехта, д. 34/7</t>
  </si>
  <si>
    <t>г. Мурманск, пр. Кирова, д. 22</t>
  </si>
  <si>
    <t>г. Мурманск, ул. Коминтерна, д. 9 корп. 1</t>
  </si>
  <si>
    <t>г. Мурманск, ул. Коминтерна, д. 15</t>
  </si>
  <si>
    <t>г. Мурманск, ул. Коминтерна, д. 18</t>
  </si>
  <si>
    <t>г. Мурманск, ул. Коминтерна, д. 20</t>
  </si>
  <si>
    <t>г. Мурманск, ул. Коминтерна, д. 22</t>
  </si>
  <si>
    <t>г. Мурманск, ул. Комсомольская, д. 6</t>
  </si>
  <si>
    <t>г. Мурманск,  пр-кт имени Ленина, д. 29</t>
  </si>
  <si>
    <t>г. Мурманск, пр. Ленина, д. 45</t>
  </si>
  <si>
    <t>г. Мурманск, пр. Ленина, д. 50</t>
  </si>
  <si>
    <t>г. Мурманск, пр. Ленина, д. 67</t>
  </si>
  <si>
    <t>г. Мурманск,  пр-кт имени Ленина, д. 72</t>
  </si>
  <si>
    <t>г. Мурманск,  пр-кт имени Ленина, д. 74</t>
  </si>
  <si>
    <t>г. Мурманск, пр. Ленина, д. 79</t>
  </si>
  <si>
    <t>г. Мурманск, пр. Ленина, д. 100</t>
  </si>
  <si>
    <t xml:space="preserve">г. Мурманск, ул. Марата, д. 23 </t>
  </si>
  <si>
    <t>г. Мурманск, ул. Морская, д. 3</t>
  </si>
  <si>
    <t xml:space="preserve">г. Мурманск, ул. Нахимова, д. 18 </t>
  </si>
  <si>
    <t>г. Мурманск, ул. Октябрьская, д. 28</t>
  </si>
  <si>
    <t>г. Мурманск, ул. Октябрьская, д. 32</t>
  </si>
  <si>
    <t>г. Мурманск, ул. Октябрьская, д. 34</t>
  </si>
  <si>
    <t>г. Мурманск, пер. Охотничий, д. 15</t>
  </si>
  <si>
    <t>г. Мурманск, пер. Охотничий, д. 17</t>
  </si>
  <si>
    <t>г. Мурманск, пер. Охотничий, д. 23</t>
  </si>
  <si>
    <t>г. Мурманск, пер. Охотничий, д. 25</t>
  </si>
  <si>
    <t>г. Мурманск, ул. Папанина, д. 23</t>
  </si>
  <si>
    <t>г. Мурманск, ул. Полухина, д. 14 Б</t>
  </si>
  <si>
    <t xml:space="preserve">г. Мурманск, ул. Полярные Зори, д. 17, корп. 4 </t>
  </si>
  <si>
    <t>1978</t>
  </si>
  <si>
    <t xml:space="preserve">г. Мурманск, ул. Полярные Зори, д. 28/13 </t>
  </si>
  <si>
    <t>г. Мурманск, ул. Профессора Сомова, д. 5</t>
  </si>
  <si>
    <t>г. Мурманск, ул. Профессора Сомова, д. 6</t>
  </si>
  <si>
    <t>1965</t>
  </si>
  <si>
    <t>г. Мурманск, ул. Профсоюзов, д. 1</t>
  </si>
  <si>
    <t>г. Мурманск, ул. Пушкинская, д. 14</t>
  </si>
  <si>
    <t>г. Мурманск, пер. Русанова, д. 1</t>
  </si>
  <si>
    <t>г. Мурманск, ул. Самойловой, д. 6</t>
  </si>
  <si>
    <t>г. Мурманск, ул. Самойловой, д. 9</t>
  </si>
  <si>
    <t>г. Мурманск, ул. Самойловой, д. 16</t>
  </si>
  <si>
    <t>г. Мурманск, ул. Самойловой, д. 18</t>
  </si>
  <si>
    <t>г. Мурманск, ул. Свердлова, д. 6  корп. 1</t>
  </si>
  <si>
    <t>г. Мурманск, ул. Свердлова, д. 10 корп. 3</t>
  </si>
  <si>
    <t>г. Мурманск, ул. Свердлова, д. 30</t>
  </si>
  <si>
    <t>г. Мурманск, пр-зд Связи, д. 22</t>
  </si>
  <si>
    <t>1985</t>
  </si>
  <si>
    <t>г. Мурманск, ул. Софьи Перовской, д. 23/19</t>
  </si>
  <si>
    <t>г. Мурманск, б-р Театральный, д. 7</t>
  </si>
  <si>
    <t>г. Мурманск, ул. Успенского, д. 4</t>
  </si>
  <si>
    <t>г. Мурманск, ул. Фрунзе, д. 19</t>
  </si>
  <si>
    <t>г. Мурманск, ул. Чумбарова-Лучинского, д. 16</t>
  </si>
  <si>
    <t>г. Мурманск, ул. Чумбарова-Лучинского, д. 18</t>
  </si>
  <si>
    <t>г. Мурманск, ул. Чумбарова-Лучинского, д. 20</t>
  </si>
  <si>
    <t>г. Мурманск, ул. Чумбарова-Лучинского, д. 24</t>
  </si>
  <si>
    <t>г. Мурманск, ул. Шмидта, д. 29 корп. 2</t>
  </si>
  <si>
    <t>1969</t>
  </si>
  <si>
    <t>г. Мурманск, ул. Шмидта, д. 33 а</t>
  </si>
  <si>
    <t>1963</t>
  </si>
  <si>
    <t>г. Мурманск, ул. Шмидта, д.39, корп. 1</t>
  </si>
  <si>
    <t>г. Мурманск, ул. Героев Рыбачьего, д. 73</t>
  </si>
  <si>
    <t>г. Мурманск, ул. Карла Маркса, д. 7а</t>
  </si>
  <si>
    <t>г. Мурманск, пр-д Ледокольный, д. 17</t>
  </si>
  <si>
    <t>г. Мурманск, ул. Полярные Зори, д. 3</t>
  </si>
  <si>
    <t>г. Мурманск, ул. Полярные Зори, д. 30</t>
  </si>
  <si>
    <t>г. Мурманск, ул. Полярные Зори, д. 41, корп. 2</t>
  </si>
  <si>
    <t>г. Мурманск, ул. Коминтерна, д. 11, корп. 2</t>
  </si>
  <si>
    <t>г. Оленегорск, ул. Мира, д. 25</t>
  </si>
  <si>
    <t>г. Оленегорск, ул. Мира, д. 28</t>
  </si>
  <si>
    <t>г. Оленегорск, ул. Кирова, д. 16</t>
  </si>
  <si>
    <t>г. Оленегорск, ул. Ветеранов, д. 16</t>
  </si>
  <si>
    <t>г. Оленегорск, ул. Бардина, д. 37</t>
  </si>
  <si>
    <t>г. Оленегорск, ул. Капитана Иванова, д. 3</t>
  </si>
  <si>
    <t>г. Оленегорск, ул. Капитана Иванова, д. 9</t>
  </si>
  <si>
    <t xml:space="preserve">г. Оленегорск, ул. Мурманская, д.7 </t>
  </si>
  <si>
    <t>п. Высокий, ул. Гвардейская, д. 19</t>
  </si>
  <si>
    <t>п. Высокий, ул. Дальняя, д. 64</t>
  </si>
  <si>
    <t>п. Высокий, ул. Дальняя, д. 68</t>
  </si>
  <si>
    <t>п. Высокий, ул. Можаева, д. 16</t>
  </si>
  <si>
    <t>п. Высокий, ул. Дальняя, д. 58</t>
  </si>
  <si>
    <t>п. Высокий, ул. Дальняя, д. 59</t>
  </si>
  <si>
    <t>п. Высокий, ул. Дальняя, д. 61</t>
  </si>
  <si>
    <t>Муниципальное образование муниципальный округ город Полярные Зори с подведомственной территорией</t>
  </si>
  <si>
    <t>г. Полярные Зори, ул. Пушкина, д. 7</t>
  </si>
  <si>
    <t>г.Полярные Зори, ул. Партизан Заполярья, д. 5</t>
  </si>
  <si>
    <t>нп. Африканда, ул. Советская, д. 11</t>
  </si>
  <si>
    <t>нп. Африканда, ул. Первомайская, д. 5</t>
  </si>
  <si>
    <t>нп. Зашеек, ул. Новая, д. 7</t>
  </si>
  <si>
    <t>нп. Зашеек, ул. Новая, д. 10</t>
  </si>
  <si>
    <t>нп. Африканда, ул. Советская, д. 3</t>
  </si>
  <si>
    <t>нп. Африканда, ул. Советская, д. 5</t>
  </si>
  <si>
    <t>нп. Африканда, ул. Советская, д. 7</t>
  </si>
  <si>
    <t>нп. Африканда, ул. Советская, д. 9</t>
  </si>
  <si>
    <t>Муниципальное образование городской округ ЗАТО Александровск</t>
  </si>
  <si>
    <t>г. Снежногорск, ул. Флотская, д. 7</t>
  </si>
  <si>
    <t>г. Снежногорск, ул. Октябрьская, д. 7</t>
  </si>
  <si>
    <t>г. Снежногорск, ул. Октябрьская, д. 9</t>
  </si>
  <si>
    <t>г. Снежногорск, ул. Бирюкова, д. 15</t>
  </si>
  <si>
    <t>г. Снежногорск, ул.Стеблина, д. 18</t>
  </si>
  <si>
    <t>н. п. Оленья Губа, ул. Строителей, д. 27</t>
  </si>
  <si>
    <t>г. Полярный, ул. Гандюхина, д. 6</t>
  </si>
  <si>
    <t>г. Полярный, ул. Героев "Тумана", д. 2</t>
  </si>
  <si>
    <t>1986/1987</t>
  </si>
  <si>
    <t>г. Полярный, ул. Гаджиева, д. 6</t>
  </si>
  <si>
    <t>г. Гаджиево, ул. Гаджиева, д. 41</t>
  </si>
  <si>
    <t>г. Гаджиево, ул. Ленина, д. 59</t>
  </si>
  <si>
    <t>г. Гаджиево, ул. Ленина, д. 76</t>
  </si>
  <si>
    <t>г. Гаджиево, ул. Душенова, д. 89</t>
  </si>
  <si>
    <t>г. Гаджиево, ул. Душенова, д. 86</t>
  </si>
  <si>
    <t>г. Гаджиево, наб. Преминина, д. 122</t>
  </si>
  <si>
    <t>г. Гаджиево, наб. Преминина, д. 106</t>
  </si>
  <si>
    <t>г. Полярный. ул. Видяева, д. 2</t>
  </si>
  <si>
    <t>г. Полярный. ул. Героев Североморцев, д. 17</t>
  </si>
  <si>
    <t>1993/1996</t>
  </si>
  <si>
    <t>г. Полярный. ул. Моисеева, д. 4</t>
  </si>
  <si>
    <t>Муниципальное образование городской округ ЗАТО город Заозерск</t>
  </si>
  <si>
    <t>г.Заозерск, ул.Колышкина д.9</t>
  </si>
  <si>
    <t>г.Заозерск, ул.Ленинского Комсомола д.14</t>
  </si>
  <si>
    <t>г.Заозерск, ул.Ленинского Комсомола д.26</t>
  </si>
  <si>
    <t>г.Заозерск, ул.Мира д.9А</t>
  </si>
  <si>
    <t>г.Заозерск, ул.Мира д.19</t>
  </si>
  <si>
    <t>г.Заозерск, ул.Строительная д.4</t>
  </si>
  <si>
    <t>г.Заозерск, ул.Строительная д.8</t>
  </si>
  <si>
    <t>г.Заозерск, ул.Строительная д.16</t>
  </si>
  <si>
    <t>г.Заозерск, ул.Флотская д.9</t>
  </si>
  <si>
    <t>г.Заозерск, ул.Флотская д.14</t>
  </si>
  <si>
    <t>Муниципальное образование городской округ ЗАТО город Островной</t>
  </si>
  <si>
    <t>г. Островной, ул. Соловья, д. 12</t>
  </si>
  <si>
    <t>Муниципальное образование городской округ ЗАТО город Североморск</t>
  </si>
  <si>
    <t>г. Североморск, ул. Северная Застава, д. 36</t>
  </si>
  <si>
    <t>г. Североморск, ул. Северная Застава, д. 38</t>
  </si>
  <si>
    <t>г. Североморск, ул. Адмирала Сизова, д. 13</t>
  </si>
  <si>
    <t>г. Североморск, ул. Адмирала Сизова, д. 14</t>
  </si>
  <si>
    <t>г. Североморск, ул. Адмирала Сизова, д. 20</t>
  </si>
  <si>
    <t>г. Североморск, ул. Флотских строителей, д. 3</t>
  </si>
  <si>
    <t>г. Североморск, ул. Комсомольская, д. 1</t>
  </si>
  <si>
    <t>г. Североморск, ул. Гаджиева, д. 9</t>
  </si>
  <si>
    <t>г. Североморск, ул. Адмирала Сизова, д. 15</t>
  </si>
  <si>
    <t>г. Североморск, ул. Инженерная, д. 5</t>
  </si>
  <si>
    <t>г. Североморск, ул. Инженерная, д. 7</t>
  </si>
  <si>
    <t>г. Североморск, ул. Инженерная, д. 11</t>
  </si>
  <si>
    <t>г. Североморск, ул. Северная Застава, д. 12</t>
  </si>
  <si>
    <t>г. Североморск, ул. Адмирала Сизова, д. 6</t>
  </si>
  <si>
    <t>г. Североморск, ул.Душенова, д. 28</t>
  </si>
  <si>
    <t>пгт. Сафоново, ул. Капитана Елькина д. 6</t>
  </si>
  <si>
    <t>г. Североморск, ул. Комсомольская, д. 20</t>
  </si>
  <si>
    <t>г. Североморск, ул. Комсомольская, д. 29</t>
  </si>
  <si>
    <t>г. Североморск, ул. Пионерская, д. 11</t>
  </si>
  <si>
    <t>г. Ковдор, ул. Ленина, д. 4</t>
  </si>
  <si>
    <t>Муниципальное образование городское поселение Зеленоборский Кандалакшского муниципального района</t>
  </si>
  <si>
    <t>пгт Зеленоборский, ул. Шоссейная, д. 32</t>
  </si>
  <si>
    <t>Муниципальное образование городское поселение Кандалакша Кандалакшского муниципального района</t>
  </si>
  <si>
    <t>г. Кандалакша, ул. Наймушина, д. 10</t>
  </si>
  <si>
    <t>г. Кандалакша, ул. Наймушина, д. 8</t>
  </si>
  <si>
    <t>г. Кандалакша, ул. Первомайская, д. 19</t>
  </si>
  <si>
    <t>г. Кандалакша, ул. Батюты, д. 24</t>
  </si>
  <si>
    <t>г. Кандалакша, ул. Первомайская, д. 61</t>
  </si>
  <si>
    <t>г. Кандалакша, ул. Первомайская, д. 53</t>
  </si>
  <si>
    <t>г. Кандалакша, ул. Кировская, д. 31</t>
  </si>
  <si>
    <t>Муниципальное образование сельское поселение Алакуртти Кандалакшского муниципального района</t>
  </si>
  <si>
    <t>с. Алакуртти , ул. Кузнецова д.14</t>
  </si>
  <si>
    <t>с. Алакуртти , ул. Кузнецова д.15</t>
  </si>
  <si>
    <t>Муниципальное образование городское поселение Туманный Кольского муниципального района</t>
  </si>
  <si>
    <t>гп Туманный, ул. Энергетиков, д. 8</t>
  </si>
  <si>
    <t>Итого по муниципальному образованию на 2022 год:</t>
  </si>
  <si>
    <t>н.п. Мокрая Кица, д. 9</t>
  </si>
  <si>
    <t>Муниципальное образование городское поселение Кильдинстрой Кольского муниципального района</t>
  </si>
  <si>
    <t>пгт Шонгуй, ул. Комсомольская, д. 6</t>
  </si>
  <si>
    <t>Муниципальное образование городское поселение Кола Кольского муниципального района</t>
  </si>
  <si>
    <t>г. Кола, пр. Советский, д. 47</t>
  </si>
  <si>
    <t>г. Кола, ул. Красноармейская, д. 5</t>
  </si>
  <si>
    <t>г. Кола, пр. Миронова, д. 16</t>
  </si>
  <si>
    <t>Муниципальное образование городское поселение Молочный Кольского муниципального района</t>
  </si>
  <si>
    <t>пгт Молочный, ул. Молодежная, д. 3</t>
  </si>
  <si>
    <t>пгт Молочный, ул. Молодежная, д. 5</t>
  </si>
  <si>
    <t>пгт Молочный, ул. Молодежная, д. 6</t>
  </si>
  <si>
    <t>пгт Мурмаши, ул. Советская, д. 35</t>
  </si>
  <si>
    <t>пгт Мурмаши, ул. Советская, д. 25</t>
  </si>
  <si>
    <t>пгт Мурмаши, ул. Энергетиков, д. 6</t>
  </si>
  <si>
    <t>пгт Мурмаши, ул. Причальная, д. 16</t>
  </si>
  <si>
    <t>пгт Мурмаши, ул. Мира, д. 23</t>
  </si>
  <si>
    <t>нп. Пушной, ул. Советская, д. 3</t>
  </si>
  <si>
    <t>с. Тулома, ул. Ручьевая, д. 3</t>
  </si>
  <si>
    <t>Муниципальное образование городское поселение Ревда Ловозерского муниципального района</t>
  </si>
  <si>
    <t>пгт Ревда, ул. Умбозерская, д. 7</t>
  </si>
  <si>
    <t>с. Ловозеро, ул. Вокуева, д. 13</t>
  </si>
  <si>
    <t>Муниципальное образование Печенгский муниципальный округ</t>
  </si>
  <si>
    <t>г. Заполярный, ул. Бабикова, д. 5</t>
  </si>
  <si>
    <t>г. Заполярный, ул. Космонавтов, д. 10</t>
  </si>
  <si>
    <t>г. Заполярный, ул. Мира, д. 6</t>
  </si>
  <si>
    <t>г. Заполярный, ул. Сафонова, д. 1</t>
  </si>
  <si>
    <t>г. Заполярный, ул. Сафонова, д. 9</t>
  </si>
  <si>
    <t>пгт. Никель, пр-кт Гвардейский, д. 10</t>
  </si>
  <si>
    <t>пгт. Никель, пр-кт Гвардейский, д. 12</t>
  </si>
  <si>
    <t>пгт. Никель, пр-кт Гвардейский, д. 8</t>
  </si>
  <si>
    <t>пгт. Никель, ул. Печенгская, д.11</t>
  </si>
  <si>
    <t>н.п. ж/д ст. Печенга (19км), д. 1</t>
  </si>
  <si>
    <t>н.п. ж/д ст. Печенга (19км), д. 3</t>
  </si>
  <si>
    <t>пгт. Печенга, ул. Печенгское шосее, д. 11</t>
  </si>
  <si>
    <t>пгт. Печенга, ул. Печенгское шосее, д. 12</t>
  </si>
  <si>
    <t>н.п. Спутник, ул. Новая, д. 8</t>
  </si>
  <si>
    <t>н.п. ж/д ст. Печенга (19км), д. 2</t>
  </si>
  <si>
    <t>н.п. ж/д ст. Печенга (19км), д. 4</t>
  </si>
  <si>
    <t>н.п. Спутник, ул. Новая, д. 15</t>
  </si>
  <si>
    <t>н.п. Спутник, ул. Новая, д. 21</t>
  </si>
  <si>
    <t>н.п. Луостари, ул. Нижняя, д. 2</t>
  </si>
  <si>
    <t>н.п. Луостари, ул. Нижняя, д. 3</t>
  </si>
  <si>
    <t>н.п. Луостари, ул. Нижняя, д. 4</t>
  </si>
  <si>
    <t>н.п. Луостари, ул. Нижняя, д. 5</t>
  </si>
  <si>
    <t>н.п. Луостари, ул. Нижняя, д. 6</t>
  </si>
  <si>
    <t>н.п. Луостари, ул. Нижняя, д. 7</t>
  </si>
  <si>
    <t>н.п. Луостари, ул. Нижняя, д. 8</t>
  </si>
  <si>
    <t>н.п. Луостари, ул. Нижняя, д. 9</t>
  </si>
  <si>
    <t>н.п. Луостари, ул. Нижняя, д. 10</t>
  </si>
  <si>
    <t>н.п. Луостари, ул. Нижняя, д. 11</t>
  </si>
  <si>
    <t>н.п. Луостари, ул. Нижняя, д. 12</t>
  </si>
  <si>
    <t>н.п. Луостари, ул. Нижняя, д. 13</t>
  </si>
  <si>
    <t>н.п. Луостари, ул. Верхняя, д. 1</t>
  </si>
  <si>
    <t>н.п. Луостари, ул. Верхняя, д. 3</t>
  </si>
  <si>
    <t>Муниципальное образование городское поселение Умба Терского муниципального района</t>
  </si>
  <si>
    <t>пгт Умба, ул. Совхозная, д. 17б</t>
  </si>
  <si>
    <t>пгт Умба, ул. Советская, д. 2</t>
  </si>
  <si>
    <t>пгт Умба, ул. Беломорская, д. 33</t>
  </si>
  <si>
    <t>пгт Умба, ул. Дзержинского, д. 70</t>
  </si>
  <si>
    <t>Итого по Мурманской области на 2022 год:</t>
  </si>
  <si>
    <t>г. Апатиты, ул. Космонавтов, д. 5</t>
  </si>
  <si>
    <t>г. Апатиты, ул. Московская, д. 8</t>
  </si>
  <si>
    <t>г. Апатиты, ул. Ничаева, д. 1</t>
  </si>
  <si>
    <t>г. Апатиты, ул. Северная, д. 19</t>
  </si>
  <si>
    <t>г. Апатиты, ул. Ферсмана, д. 12</t>
  </si>
  <si>
    <t>г. Апатиты, ул. Ферсмана, д. 13</t>
  </si>
  <si>
    <t>г. Апатиты, ул. Ферсмана, д. 17</t>
  </si>
  <si>
    <t>г. Апатиты, ул. Ферсмана, д. 19</t>
  </si>
  <si>
    <t>г. Апатиты, ул. Ферсмана, д. 21</t>
  </si>
  <si>
    <t>г. Апатиты, ул. Фестивальная, д. 7</t>
  </si>
  <si>
    <t>г. Апатиты, ул. Северная, д. 25</t>
  </si>
  <si>
    <t>г. Кировск, пр. Ленина, д. 5а</t>
  </si>
  <si>
    <t>г. Кировск, пр. Ленина, 19</t>
  </si>
  <si>
    <t>г. Кировск, пр. Ленина, д. 23а</t>
  </si>
  <si>
    <t>г. Кировск, ул. Кирова, д. 30</t>
  </si>
  <si>
    <t>г. Кировск, ул. Кирова, д. 36</t>
  </si>
  <si>
    <t>г. Мончегорск, ул. Бредова, д. 28</t>
  </si>
  <si>
    <t xml:space="preserve">г. Мончегорск, ул. Бредова, д. 5 </t>
  </si>
  <si>
    <t>г. Мончегорск, ул. Бредова, д. 26</t>
  </si>
  <si>
    <t>г. Мончегорск, ул. Морошковая, д. 6</t>
  </si>
  <si>
    <t>1993/1995</t>
  </si>
  <si>
    <t>Муниципальное образование городской округ город-герой  Мурманск</t>
  </si>
  <si>
    <t>г. Мурманск, ул. Академика Павлова, д. 2</t>
  </si>
  <si>
    <t xml:space="preserve">г. Мурманск, ул. Алексея Хлобыстова, д. 20, корп. 2 </t>
  </si>
  <si>
    <t xml:space="preserve">г. Мурманск, ул. Алексея Хлобыстова, д. 28, корп. 2 </t>
  </si>
  <si>
    <t>1990</t>
  </si>
  <si>
    <t>г. Мурманск, ул. Аскольдовцев, д. 29</t>
  </si>
  <si>
    <t>г. Мурманск, пр. Героев-североморцев, д. 78 корп. 2</t>
  </si>
  <si>
    <t>г. Мурманск, пр. Героев-североморцев, д. 78 корп. 4</t>
  </si>
  <si>
    <t>г. Мурманск, ул. Капитана Буркова, д. 23</t>
  </si>
  <si>
    <t>г. Мурманск, ул. Карла Маркса, д. 4</t>
  </si>
  <si>
    <t>г. Мурманск, ул. Комсомольская, д. 3</t>
  </si>
  <si>
    <t>г. Мурманск, пр. Ленина, д. 9</t>
  </si>
  <si>
    <t>г. Мурманск, пр. Ленина, д. 29</t>
  </si>
  <si>
    <t>г. Мурманск, ул. Октябрьская, д. 9</t>
  </si>
  <si>
    <t>г. Мурманск, ул. Октябрьская, д. 22</t>
  </si>
  <si>
    <t>г. Мурманск, ул. Октябрьская, д. 26</t>
  </si>
  <si>
    <t>г. Мурманск, ул. Октябрьская, д. 36</t>
  </si>
  <si>
    <t>г. Мурманск, ул. Олега Кошевого, д. 6, корп. 1</t>
  </si>
  <si>
    <t>г. Мурманск, ул. Олега Кошевого, д. 6, корп. 2</t>
  </si>
  <si>
    <t>г. Мурманск, ул. Папанина, д. 7</t>
  </si>
  <si>
    <t>г. Мурманск, ул. Пищевиков, д. 4</t>
  </si>
  <si>
    <t>г. Мурманск, ул. Пищевиков, д. 8</t>
  </si>
  <si>
    <t>г. Мурманск, ул. Подстаницкого, д. 20а</t>
  </si>
  <si>
    <t>г. Мурманск, пр-д Рыбный, д. 8</t>
  </si>
  <si>
    <t>г. Мурманск, ул. Сафонова, д. 47</t>
  </si>
  <si>
    <t>1976</t>
  </si>
  <si>
    <t>г. Мурманск, ул. Свердлова, д. 2 корп. 5</t>
  </si>
  <si>
    <t>г. Мурманск, ул. Свердлова, д. 6 корп. 3</t>
  </si>
  <si>
    <t>г. Мурманск, ул. Свердлова, д. 14, корп. 3</t>
  </si>
  <si>
    <t>г. Мурманск, ул. Свердлова, д. 54</t>
  </si>
  <si>
    <t>г. Мурманск, б-р Театральный, д. 6</t>
  </si>
  <si>
    <t>г. Мурманск, пер. Терский, д. 9</t>
  </si>
  <si>
    <t>г. Мурманск, ул. Трудовых Резервов, д. 6</t>
  </si>
  <si>
    <t>г. Мурманск, пр-зд Флотский, д. 1</t>
  </si>
  <si>
    <t>г. Мурманск, ул. Челюскинцев, д. 18/20</t>
  </si>
  <si>
    <t>г. Мурманск, ул. Челюскинцев, д. 35</t>
  </si>
  <si>
    <t>г. Мурманск, ул. Чумбарова-Лучинского, д. 46 корп. 1</t>
  </si>
  <si>
    <t>г. Мурманск, ул. Шевченко, д. 1 а</t>
  </si>
  <si>
    <t>г. Мурманск, ул. Шмидта, д. 17</t>
  </si>
  <si>
    <t>г. Мурманск, ул. Шмидта, д. 47</t>
  </si>
  <si>
    <t>Муниципальное образование муниципальный округ город Оленегорск с подведомственной территорией</t>
  </si>
  <si>
    <t>г. Оленегорск, ул. Строительная, д. 30</t>
  </si>
  <si>
    <t>г. Оленегорск, ул. Пионерская, д. 8</t>
  </si>
  <si>
    <t>г. Оленегорск, ул. Пионерская, д. 9</t>
  </si>
  <si>
    <t>г. Оленегорск, ул. Бардина, д. 44</t>
  </si>
  <si>
    <t>г. Оленегорск, ул. Бардина, д. 47</t>
  </si>
  <si>
    <t>г. Оленегорск, ул. Строительная, д. 11</t>
  </si>
  <si>
    <t>г. Оленегорск, ул. Строительная, д. 49</t>
  </si>
  <si>
    <t>п. Высокий, ул. Можаева, д. 21</t>
  </si>
  <si>
    <t>г. Полярные Зори, ул. Партизан Заполярья, д. 11</t>
  </si>
  <si>
    <t>г. Полярные Зори, ул. Белова, д. 1</t>
  </si>
  <si>
    <t>г. Полярные Зори, ул. Пушкина, д. 4 А</t>
  </si>
  <si>
    <t>г. Заозерск, ул. Мира, д. 19</t>
  </si>
  <si>
    <t>г. Островной, ул. Адмирала Устьянцева, д. 9</t>
  </si>
  <si>
    <t>г. Североморск, ул. Адмирала Сизова, д. 16</t>
  </si>
  <si>
    <t>г. Североморск, ул. Адмирала Сизова, д. 7</t>
  </si>
  <si>
    <t>г. Североморск, ул. Гвардейская, д. 35</t>
  </si>
  <si>
    <t>г. Североморск, ул. Комсомольская, д. 16</t>
  </si>
  <si>
    <t>г. Североморск, ул. Гаджиева, д. 7</t>
  </si>
  <si>
    <t>г. Североморск, ул. Сафонова, д. 10</t>
  </si>
  <si>
    <t>г. Североморск, ул. Кирова, д. 15</t>
  </si>
  <si>
    <t>н.п. Североморск-3, ул. Героев-североморцев, д. 8</t>
  </si>
  <si>
    <t>н.п. Североморск-3, ул. Героев-североморцев, д. 13</t>
  </si>
  <si>
    <t>н.п. Щукозеро, ул. Агеева, д. 7</t>
  </si>
  <si>
    <t>г. Североморск, ул. Флотских Строителей, д. 7</t>
  </si>
  <si>
    <t>г. Североморск, ул. Сафонова, д. 12</t>
  </si>
  <si>
    <t>н.п. Североморск-3, ул. Героев-североморцев, д. 15</t>
  </si>
  <si>
    <t>Муниципальное образование Ковдорский муниципальный округ</t>
  </si>
  <si>
    <t>г. Ковдор, ул. Кирова, д. 9</t>
  </si>
  <si>
    <t>г. Ковдор, пл. Ленина, д. 5</t>
  </si>
  <si>
    <t>г. Ковдор, ул. Сухачева, д. 3</t>
  </si>
  <si>
    <t>пгт Зеленоборский, ул. Привокзальная, д. 12</t>
  </si>
  <si>
    <t>г. Кандалакша, ул. Кандалакшское шоссе, д. 41/4</t>
  </si>
  <si>
    <t>г. Кандалакша, ул. Набережная,  д. 133</t>
  </si>
  <si>
    <t>г. Кандалакша, ул. Новая д. 25</t>
  </si>
  <si>
    <t>г. Кандалакша, ул. Первомайская д. 79А</t>
  </si>
  <si>
    <t>пгт Кильдинстрой, ул. Советская, д. 8</t>
  </si>
  <si>
    <t>г. Кола, ул. Победы, д. 8</t>
  </si>
  <si>
    <t>г. Кола, ул. Заводская, д. 4</t>
  </si>
  <si>
    <t>пгт Молочный, ул. Гальченко, д. 2</t>
  </si>
  <si>
    <t>пгт Молочный, ул. Гальченко, д. 6</t>
  </si>
  <si>
    <t>пгт Молочный, ул. Гальченко, д. 7</t>
  </si>
  <si>
    <t>Муниципальное образование городское поселение Мурмаши Кольского муниципального района</t>
  </si>
  <si>
    <t>пгт Мурмаши, ул. Мира, д. 21</t>
  </si>
  <si>
    <t>пгт Мурмаши, ул. Советская, д. 8</t>
  </si>
  <si>
    <t>пгт Мурмаши, ул. Советская, д. 29</t>
  </si>
  <si>
    <t>пгт Мурмаши, ул. Советская, д. 13</t>
  </si>
  <si>
    <t xml:space="preserve">с. Ловозеро, ул. Данилова, д. 20 </t>
  </si>
  <si>
    <t>с. Ловозеро, ул. Советская, д. 25</t>
  </si>
  <si>
    <t>с. Ловозеро, ул. Школьная, д. 2</t>
  </si>
  <si>
    <t>с. Ловозеро, ул. Ручьевая, д. 6</t>
  </si>
  <si>
    <t>г. Заполярный, ул. Крупской , д. 6</t>
  </si>
  <si>
    <t>г. Заполярный, ул. Юбилейная, д. 18</t>
  </si>
  <si>
    <t>г. Заполярный, ул. Юбилейная, д. 20</t>
  </si>
  <si>
    <t>г. Заполярный, ул. Юбилейная, д. 22</t>
  </si>
  <si>
    <t xml:space="preserve">пгт. Никель, пр-кт Гвардейский, д. 33 </t>
  </si>
  <si>
    <t>1983-1985</t>
  </si>
  <si>
    <t>пгт. Никель, пр-кт Гвардейский, д. 19а</t>
  </si>
  <si>
    <t>пгт Умба, ул. Беломорская, д. 50</t>
  </si>
  <si>
    <t>пгт Умба, ул. Совхозная, д. 19</t>
  </si>
  <si>
    <t>пгт Умба, ул. Приморская, д. 40</t>
  </si>
  <si>
    <t>пгт Умба, ул. Дзержинского, д. 37</t>
  </si>
  <si>
    <t>* Предельная стоимость работ, выполняемых за счет средств фонда капитального ремонта, формируемого на счете НКО «ФКР МО»,  рассчитывается на дату проведения конкурсного отбора подрядной организации в соответствии с предельной стоимостью работ, установленной постановлением Правительства Мурманской области.</t>
  </si>
  <si>
    <t xml:space="preserve"> Предельная стоимость  затрат на осуществление строительного контроля при проведении капитального ремонта МКД составляет не более 1,5 % от стоимости фактически выполненных работ.</t>
  </si>
  <si>
    <t>2022**</t>
  </si>
  <si>
    <t>Кандалакшский район</t>
  </si>
  <si>
    <t>Кольский район</t>
  </si>
  <si>
    <t>Итого Кольский район на 2020 год:</t>
  </si>
  <si>
    <t>Ловозерский район</t>
  </si>
  <si>
    <t>Итого Ловозерский район на 2020 год:</t>
  </si>
  <si>
    <t>Печенгский  район</t>
  </si>
  <si>
    <t>Муниципальное образование городское поселение Печенга Печенгского района</t>
  </si>
  <si>
    <t>Итого Печенгский район на 2020 год:</t>
  </si>
  <si>
    <t>Терский район</t>
  </si>
  <si>
    <t>Итого Терский район на 2020 год:</t>
  </si>
  <si>
    <t>Итого Кандалакшский район на 2020 год:</t>
  </si>
  <si>
    <t>Муниципальное образование городское поселение Молочный Кольского муниципального  района</t>
  </si>
  <si>
    <t>Итого Печенгский муниципальный округ на 2022 год:</t>
  </si>
  <si>
    <t>Муниципальное образование Ковдорский район</t>
  </si>
  <si>
    <t>Муниципальное образование городское поселение Никель Печенгского района</t>
  </si>
  <si>
    <t>Муниципальное образование сельское поселение Пушной Кольского муниципального района (полномочия переданы в муниципальное образование Кольский муниципальный район)</t>
  </si>
  <si>
    <t>Муниципальное образование сельское поселение Тулома Кольского муниципального района (полномочия переданы в муниципальное образование Кольский муниципальный район)</t>
  </si>
  <si>
    <t>Муниципальное образование сельское поселение Ловозеро Ловозерского муниципального района (полномочия переданы в муниципальное образование Ловозерский муниципальный район)</t>
  </si>
  <si>
    <t xml:space="preserve">Приложение </t>
  </si>
  <si>
    <t>к постановлению Правительства</t>
  </si>
  <si>
    <t>«Краткосрочный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2020-2022 годы</t>
  </si>
  <si>
    <t>2023***</t>
  </si>
  <si>
    <t>г. Мончегорск, ул. Бредова, д. 15а</t>
  </si>
  <si>
    <t>г. Мончегорск, ул. Железнодорожная, д. 8</t>
  </si>
  <si>
    <t>г. Оленегорск-1, ул. Озерная, д. 8</t>
  </si>
  <si>
    <t>г. Оленегорск-2, ул. Ленинградская, д. 15</t>
  </si>
  <si>
    <t>г. Оленегорск-2, ул. Ленинградская, д. 16</t>
  </si>
  <si>
    <t>г. Оленегорск-2, ул. Ленинградская, д. 18</t>
  </si>
  <si>
    <t>п. Высокий, ул. Дальняя, д. 60</t>
  </si>
  <si>
    <t>п. Высокий, ул. Дальняя, д. 62</t>
  </si>
  <si>
    <t>п. Высокий, ул. Дальняя, д. 63</t>
  </si>
  <si>
    <t>п. Высокий, ул. Дальняя, д. 66</t>
  </si>
  <si>
    <t>п. Высокий, ул.Гвардейская, д. 10</t>
  </si>
  <si>
    <t>п. Высокий, ул.Гвардейская, д. 15</t>
  </si>
  <si>
    <t>п. Высокий, ул.Гвардейская, д. 17</t>
  </si>
  <si>
    <t>п. Высокий, ул.Гвардейская, д. 19</t>
  </si>
  <si>
    <t>п. Высокий, ул. Можаева, д. 10</t>
  </si>
  <si>
    <t>п. Высокий, ул. Можаева, д. 12</t>
  </si>
  <si>
    <t>п. Высокий, ул. Можаева, д. 14</t>
  </si>
  <si>
    <t>п. Высокий, ул. Можаева, д. 18</t>
  </si>
  <si>
    <t>п. Высокий, ул. Сыромятникова, д. 14</t>
  </si>
  <si>
    <t>нп. Зашеек, ул. Веденеева, д. 4</t>
  </si>
  <si>
    <t>г. Апатиты, ул. Победы, д. 3</t>
  </si>
  <si>
    <t>г. Апатиты, ул. Фестивальная, д. 4</t>
  </si>
  <si>
    <t>г. Апатиты, ул. Северная, д. 22</t>
  </si>
  <si>
    <t>г. Заозерск, ул. Ленинского Комсомола, д. 12</t>
  </si>
  <si>
    <t>г. Заозерск, ул. Ленинского Комсомола, д. 14</t>
  </si>
  <si>
    <t>г. Заозерск, ул. Ленинского Комсомола, д. 20</t>
  </si>
  <si>
    <t>г. Заозерск, ул. Ленинского Комсомола, д. 24</t>
  </si>
  <si>
    <t>г. Заозерск, ул. Ленинского Комсомола, д. 32</t>
  </si>
  <si>
    <t>г. Заозерск, ул. Ленинского Комсомола, д. 30</t>
  </si>
  <si>
    <t>г. Заозерск, ул. Генерала Чумаченко, д. 1</t>
  </si>
  <si>
    <t>г. Заозерск, пер. Молодежный, д. 6</t>
  </si>
  <si>
    <t>г. Заозерск, ул. Строительная, д. 3</t>
  </si>
  <si>
    <t>г. Заозерск, ул. Ленинского Комсомола, д. 7</t>
  </si>
  <si>
    <t>Муниципальное образование сельское поселение Териберка Кольского муниципального района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</si>
  <si>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</si>
  <si>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</si>
  <si>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</si>
  <si>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</si>
  <si>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>г. Гаджиево, ул. Гаджиева 28</t>
  </si>
  <si>
    <t>г. Гаджиево, наб. С. Преминина 108</t>
  </si>
  <si>
    <t>н.п. Оленья Губа, Строителей 29</t>
  </si>
  <si>
    <t>г. Снежногорск Октябрьская 13</t>
  </si>
  <si>
    <t>с. Алакуртти, ул. Кузнецова, д. 16</t>
  </si>
  <si>
    <t>с. Алакуртти, ул. Кузнецова, д. 17</t>
  </si>
  <si>
    <t>с. Алакуртти, ул. Грязнова, д. 3</t>
  </si>
  <si>
    <t>п. Видяево, ул. Заречная, д. 14</t>
  </si>
  <si>
    <t>п. Видяево, ул. Заречная, д. 16</t>
  </si>
  <si>
    <t>п. Видяево, ул. Заречная, д. 18</t>
  </si>
  <si>
    <t>п. Видяево, ул. Заречная, д. 22</t>
  </si>
  <si>
    <t>п. Видяево, ул. Заречная, д. 26</t>
  </si>
  <si>
    <t>п. Видяево, ул. Заречная, д. 35</t>
  </si>
  <si>
    <t>п. Видяево, ул. Заречная, д. 48</t>
  </si>
  <si>
    <t>п. Видяево, ул. Заречная, д. 44</t>
  </si>
  <si>
    <t>2023****</t>
  </si>
  <si>
    <t>Итого Ковдорский район на 2020 год:</t>
  </si>
  <si>
    <t>Муниципальное образование ЗАТО поселок Видяево</t>
  </si>
  <si>
    <t>г. Мурманск, ул. Капитана Егорова, д. 4</t>
  </si>
  <si>
    <t>г. Мурманск, ул. Капитана Егорова, д. 13</t>
  </si>
  <si>
    <t>г. Мурманск, пр-д Капитана Тарана, д. 4</t>
  </si>
  <si>
    <t>г. Мурманск, пр-д Капитана Тарана, д. 12</t>
  </si>
  <si>
    <t>г. Гаджиево, ул. Мира 84</t>
  </si>
  <si>
    <t>г. Гаджиево, ул. Душенова 96</t>
  </si>
  <si>
    <t>г. Гаджиево, ул. Душенова 97</t>
  </si>
  <si>
    <t>г. Гаджиево, наб. С. Преминина 120</t>
  </si>
  <si>
    <t>г. Гаджиево, ул. Гаджиева 23</t>
  </si>
  <si>
    <t>г. Гаджиево, ул Гаджиева 61</t>
  </si>
  <si>
    <t>г. Гаджиево, ул Советская 64</t>
  </si>
  <si>
    <t>г. Гаджиево, ул Ленина 75</t>
  </si>
  <si>
    <t>г. Гаджиево, ул. Душенова 100</t>
  </si>
  <si>
    <t>г. Гаджиево, ул. Гаджиева 41</t>
  </si>
  <si>
    <t>г. Гаджиево, ул. Гаджиева 40</t>
  </si>
  <si>
    <t>г. Снежногорск Октябрьская 26</t>
  </si>
  <si>
    <t>г. Снежногорск, Стеблина 7</t>
  </si>
  <si>
    <t>г. Полярный Красный Горн 21</t>
  </si>
  <si>
    <t>г. Полярный Душенова 7</t>
  </si>
  <si>
    <t>г. Полярный Красный Горн 20</t>
  </si>
  <si>
    <t>г. Снежногорск, ул. Флотская, д. 8</t>
  </si>
  <si>
    <t>г. Полярный, ул. Душенова, д. 5</t>
  </si>
  <si>
    <t>г. Мурманск, ул. Адмирала флота Лобова, д. 11 корп. 7, п. 1, 2, 3, 4</t>
  </si>
  <si>
    <t>г. Мурманск, ул. Александра Невского, д. 71</t>
  </si>
  <si>
    <t>г. Мурманск, ул. Александра Невского, д. 73</t>
  </si>
  <si>
    <t>г. Мурманск, ул. Александра Невского, д. 80</t>
  </si>
  <si>
    <t>г. Мурманск, ул. Александра Невского, д. 82</t>
  </si>
  <si>
    <t>г. Мурманск, ул. Александра Невского, д. 88</t>
  </si>
  <si>
    <t>г. Мурманск, ул. Александра Невского, д. 89</t>
  </si>
  <si>
    <t>г. Мурманск, ул. Александрова, д. 26</t>
  </si>
  <si>
    <t>г. Мурманск, ул. Александрова, д. 28</t>
  </si>
  <si>
    <t>г. Мурманск, ул. Александрова, д. 30 корп. 1</t>
  </si>
  <si>
    <t>г. Мурманск, ул. Александрова, д. 30 корп. 2</t>
  </si>
  <si>
    <t>г. Мурманск, ул. Александрова, д. 30 корп. 3</t>
  </si>
  <si>
    <t>г. Мурманск, ул. Александрова, д. 34 корп. 1</t>
  </si>
  <si>
    <t>г. Мурманск, ул. Александрова, д. 34 корп. 2</t>
  </si>
  <si>
    <t>г. Мурманск, ул. Александрова, д. 36</t>
  </si>
  <si>
    <t>г. Мурманск, ул. Александрова, д. 38</t>
  </si>
  <si>
    <t>г. Мурманск, ул. Александрова, д. 40</t>
  </si>
  <si>
    <t>1970</t>
  </si>
  <si>
    <t>г. Мурманск, ул. Алексея Хлобыстова, д. 3</t>
  </si>
  <si>
    <t>г. Мурманск, ул. Алексея Хлобыстова, д. 5</t>
  </si>
  <si>
    <t>г. Мурманск, ул. Алексея Хлобыстова, д. 9</t>
  </si>
  <si>
    <t>г. Мурманск, ул. Алексея Хлобыстова, д. 11</t>
  </si>
  <si>
    <t>г. Мурманск, ул. Алексея Хлобыстова, д. 18</t>
  </si>
  <si>
    <t>1966</t>
  </si>
  <si>
    <t>1971</t>
  </si>
  <si>
    <t>г. Мурманск, ул. Аскольдовцев, д. 12</t>
  </si>
  <si>
    <t>г. Мурманск, ул. Аскольдовцев, д. 25</t>
  </si>
  <si>
    <t>г. Мурманск, ул. Аскольдовцев, д. 25 корп. 1</t>
  </si>
  <si>
    <t>г. Мурманск, ул. Аскольдовцев, д. 25 корп. 2</t>
  </si>
  <si>
    <t>г. Мурманск, ул. Аскольдовцев, д. 25 корп. 3</t>
  </si>
  <si>
    <t>г. Мурманск, ул. Аскольдовцев, д. 25 корп. 4</t>
  </si>
  <si>
    <t>г. Мурманск, ул. Аскольдовцев, д. 27</t>
  </si>
  <si>
    <t>1986</t>
  </si>
  <si>
    <t>1968</t>
  </si>
  <si>
    <t>1973</t>
  </si>
  <si>
    <t>г. Мурманск, ул. Аскольдовцев, д. 31</t>
  </si>
  <si>
    <t>г. Мурманск, ул. Аскольдовцев, д. 33</t>
  </si>
  <si>
    <t xml:space="preserve">г. Мурманск, ул. Аскольдовцев, д. 35 </t>
  </si>
  <si>
    <t>г. Мурманск, ул. Аскольдовцев, д. 35 корп. 1</t>
  </si>
  <si>
    <t>г. Мурманск, ул. Аскольдовцев, д. 37</t>
  </si>
  <si>
    <t>г. Мурманск, ул. Аскольдовцев, д. 41</t>
  </si>
  <si>
    <t>г. Мурманск, ул. Аскольдовцев, д. 43</t>
  </si>
  <si>
    <t>г. Мурманск, ул. Аскольдовцев, д. 45</t>
  </si>
  <si>
    <t>г. Мурманск, ул. Аскольдовцев, д. 47</t>
  </si>
  <si>
    <t>г. Мурманск, ул. Аскольдовцев, д. 47а</t>
  </si>
  <si>
    <t>г. Мурманск, ул. Виктора Миронова, д. 3</t>
  </si>
  <si>
    <t>г. Мурманск, ул. Виктора Миронова, д. 12</t>
  </si>
  <si>
    <t>г. Мурманск, ул. Виктора Миронова, д. 14</t>
  </si>
  <si>
    <t>г. Мурманск, ул. Вице-адмирала Николаева, д. 6</t>
  </si>
  <si>
    <t>г. Мурманск, ул. Вице-адмирала Николаева, д. 8</t>
  </si>
  <si>
    <t>г. Мурманск, ул. Вице-адмирала Николаева, д. 13</t>
  </si>
  <si>
    <t>г. Мурманск, ул. Вице-адмирала Николаева, д. 15</t>
  </si>
  <si>
    <t>г. Мурманск, пр. Героев-североморцев, д. 5 корп. 1</t>
  </si>
  <si>
    <t>г. Мурманск, пр. Героев-североморцев, д. 7 корп. 1</t>
  </si>
  <si>
    <t>г. Мурманск, пр. Героев-североморцев, д. 7 корп. 2</t>
  </si>
  <si>
    <t>г. Мурманск, пр. Героев-североморцев, д. 9 корп. 1</t>
  </si>
  <si>
    <t>г. Мурманск, пр. Героев-североморцев, д. 9 корп. 2</t>
  </si>
  <si>
    <t>г. Мурманск, пр. Героев-североморцев, д. 11 корп. 1</t>
  </si>
  <si>
    <t>г. Мурманск, пр. Героев-североморцев, д. 11 корп. 2</t>
  </si>
  <si>
    <t>г. Мурманск, пр. Героев-североморцев, д. 13</t>
  </si>
  <si>
    <t>г. Мурманск, пр. Героев-североморцев, д. 15 корп. 1</t>
  </si>
  <si>
    <t>г. Мурманск, пр. Героев-североморцев, д. 15 корп. 2</t>
  </si>
  <si>
    <t>г. Мурманск, пр. Героев-североморцев, д. 17 корп. 2</t>
  </si>
  <si>
    <t>г. Мурманск, пр. Героев-североморцев, д. 19</t>
  </si>
  <si>
    <t>г. Мурманск, пр. Героев-североморцев, д. 72</t>
  </si>
  <si>
    <t>г. Мурманск, пр. Героев-североморцев, д. 76 корп. 1</t>
  </si>
  <si>
    <t>г. Мурманск, пр. Героев-североморцев, д. 78 корп. 1</t>
  </si>
  <si>
    <t>3891,9</t>
  </si>
  <si>
    <t>г. Мурманск, ул. Инженерная, д. 1</t>
  </si>
  <si>
    <t>г. Мурманск, ул. Инженерная, д. 8</t>
  </si>
  <si>
    <t>г. Мурманск, ул. Инженерная, д. 10</t>
  </si>
  <si>
    <t>г. Мурманск, ул. Маяковского, д. 1</t>
  </si>
  <si>
    <t>г. Мурманск, ул. Маяковского, д. 3</t>
  </si>
  <si>
    <t>г. Мурманск, ул. Маяковского, д. 21</t>
  </si>
  <si>
    <t>г. Мурманск, ул. Павлика Морозова, д. 5 корп. 3</t>
  </si>
  <si>
    <t>г. Мурманск, ул. Саши Ковалева, д. 10</t>
  </si>
  <si>
    <t>г. Мурманск, ул. Саши Ковалева, д. 14</t>
  </si>
  <si>
    <t>г. Мурманск, ул. Саши Ковалева, д. 20</t>
  </si>
  <si>
    <t>г. Мурманск, ул. Свердлова, д. 40 корп.1</t>
  </si>
  <si>
    <t>г. Мурманск, ул. Свердлова, д. 40 корп. 2</t>
  </si>
  <si>
    <t>г. Мурманск, ул. Свердлова, д. 40 корп. 3</t>
  </si>
  <si>
    <t>г. Мурманск, ул. Свердлова, д. 40 корп. 4</t>
  </si>
  <si>
    <t>г. Мурманск, ул. Свердлова, д. 40 корп. 5</t>
  </si>
  <si>
    <t>г. Мурманск, ул. Свердлова, д. 66, п. 1, 2</t>
  </si>
  <si>
    <t>г. Мурманск, ул. Свердлова, д. 68, п. 1, 2</t>
  </si>
  <si>
    <t>г. Мурманск, ул. Свердлова, д. 70, п. 1, 2</t>
  </si>
  <si>
    <t>г. Мурманск, ул. Свердлова, д. 72, п. 1, 2, 3</t>
  </si>
  <si>
    <t>г. Мурманск, ул. Свердлова, д. 74, п. 1, 2, 3, 4, 5</t>
  </si>
  <si>
    <t>г. Мурманск, ул. Свердлова, д. 82, п. 1, 2, 3</t>
  </si>
  <si>
    <t>г. Мурманск, ул. Ушакова, д. 5 корп. 2</t>
  </si>
  <si>
    <t>г. Мурманск, ул. Чумбарова-Лучинского, д. 9</t>
  </si>
  <si>
    <t>г. Мурманск, ул. Чумбарова-Лучинского, д. 11</t>
  </si>
  <si>
    <t>г. Мурманск, ул. Чумбарова-Лучинского, д. 15</t>
  </si>
  <si>
    <t>г. Мурманск, ул. Чумбарова-Лучинского, д. 17</t>
  </si>
  <si>
    <t>г. Мурманск, ул. Чумбарова-Лучинского, д. 19</t>
  </si>
  <si>
    <t>г. Мурманск, ул. Чумбарова-Лучинского, д. 23</t>
  </si>
  <si>
    <t>г. Мурманск, ул. Чумбарова-Лучинского, д. 25</t>
  </si>
  <si>
    <t>г. Мурманск, ул. Чумбарова-Лучинского, д. 27</t>
  </si>
  <si>
    <t>г. Мурманск, ул. Чумбарова-Лучинского, д. 29</t>
  </si>
  <si>
    <t>г. Мурманск, ул. Чумбарова-Лучинского, д. 32 корп. 1</t>
  </si>
  <si>
    <t>г. Мурманск, ул. Чумбарова-Лучинского, д. 32 корп. 2</t>
  </si>
  <si>
    <t>г. Мурманск, ул. Чумбарова-Лучинского, д. 32 корп. 3</t>
  </si>
  <si>
    <t>г. Мурманск, ул. Чумбарова-Лучинского, д. 33</t>
  </si>
  <si>
    <t>г. Мурманск, ул. Чумбарова-Лучинского, д. 40 корп. 1</t>
  </si>
  <si>
    <t>г. Мурманск, ул. Чумбарова-Лучинского, д. 40 корп. 2</t>
  </si>
  <si>
    <t>г. Мурманск, ул. Чумбарова-Лучинского, д. 40 корп. 3</t>
  </si>
  <si>
    <t>2713,8</t>
  </si>
  <si>
    <t>2735,4</t>
  </si>
  <si>
    <t>2861,5</t>
  </si>
  <si>
    <t>г. Мурманск, ул. Юрия Гагарина, д. 27</t>
  </si>
  <si>
    <t>г. Мурманск, ул. Юрия Гагарина, д. 29</t>
  </si>
  <si>
    <t>г. Мурманск, ул. Юрия Гагарина, д. 31</t>
  </si>
  <si>
    <t>г. Мурманск, пер. Арктический, д 4</t>
  </si>
  <si>
    <t>г. Мурманск, ул. Володарского, д. 4</t>
  </si>
  <si>
    <t>г. Мурманск, ул. Карла Маркса, д. 35</t>
  </si>
  <si>
    <t>г. Мурманск, пр. Ленина, д. 55</t>
  </si>
  <si>
    <t>г. Мурманск, пр. Ленина, д. 63</t>
  </si>
  <si>
    <t>г. Мурманск, ул. Полярные Зори, д. 2</t>
  </si>
  <si>
    <t>г. Мурманск, ул. Чумбарова-Лучинского, д. 5</t>
  </si>
  <si>
    <t>г. Мурманск, ул. Чумбарова-Лучинского, д. 7</t>
  </si>
  <si>
    <t>г. Мурманск, ул. Чумбарова-Лучинского, д. 8</t>
  </si>
  <si>
    <t>г. Мурманск, ул. Чумбарова-Лучинского, д. 13</t>
  </si>
  <si>
    <t>г. Мурманск, ул. Чумбарова-Лучинского, д. 21</t>
  </si>
  <si>
    <t>г. Мурманск, ул. Адмирала флота Лобова, д. 11 корп. 4, п. 1, 2, 3, 4</t>
  </si>
  <si>
    <t>г. Мурманск, ул. Адмирала флота Лобова, д. 11 корп. 6, п. 1</t>
  </si>
  <si>
    <t>г. Мурманск, ул. Генерала Щербакова, д. 16, п. 1, 2, 3, 4</t>
  </si>
  <si>
    <t>г. Мурманск, ул. Генерала Щербакова, д. 30, п. 1, 2</t>
  </si>
  <si>
    <t>г. Мурманск, ул. Генерала Щербакова, д. 32, п. 1</t>
  </si>
  <si>
    <t>г. Мурманск, ул. Генерала Щербакова, д. 34, п. 1, 2, 3, 4, 5, 6</t>
  </si>
  <si>
    <t>г. Мурманск, ул. Героев Рыбачьего, д. 34, п. 1, 2</t>
  </si>
  <si>
    <t>г. Мурманск, ул. Героев Рыбачьего, д. 3, п. 1, 2</t>
  </si>
  <si>
    <t>г. Мурманск, пр. Кирова, д. 23 корп. 2, п. 1, 2, 3</t>
  </si>
  <si>
    <t>г. Мурманск, пр. Кольский, д. 160, п. 1, 2, 3, 4</t>
  </si>
  <si>
    <t>г. Мурманск, пр. Кольский, д. 164, п. 1, 2, 3, 4</t>
  </si>
  <si>
    <t>г. Мурманск, пр. Кольский, д. 166, п. 1, 2</t>
  </si>
  <si>
    <t>г. Мурманск, пр. Кольский, д. 168, п. 1, 2, 3, 4</t>
  </si>
  <si>
    <t>г. Мурманск, пр. Кольский, д. 174 корп. 5, п. 1, 2, 3</t>
  </si>
  <si>
    <t>г. Мурманск, ул. Полярные Зори, д. 17 корп. 3, п. 1, 2</t>
  </si>
  <si>
    <t>г. Мурманск, ул. Полярные Зори, д. 49 корп. 5, п. 1, 2</t>
  </si>
  <si>
    <t>г. Мурманск, пер. Якорный, д. 3, п. 1, 2</t>
  </si>
  <si>
    <t>г. Мурманск, пер. Якорный, д. 4, п. 1, 2, 3, 4</t>
  </si>
  <si>
    <t>г. Мурманск, пер. Якорный, д. 14, п. 1, 2, 3, 4, 6</t>
  </si>
  <si>
    <t>г. Мурманск, пер. Якорный, д. 16, п. 1</t>
  </si>
  <si>
    <t>г. Мончегорск, ул. Металлургов, д. 18</t>
  </si>
  <si>
    <t>г. Мурманск, ул. Адмирала флота Лобова, д. 26</t>
  </si>
  <si>
    <t>г. Оленегорск-1, ул. Озерная, д. 9</t>
  </si>
  <si>
    <t>г. Оленегорск-1, ул. Озерная, д. 10</t>
  </si>
  <si>
    <t>г. Мурманск, ул. Крупской, д. 48</t>
  </si>
  <si>
    <t>г. Мурманск, ул. Скальная, д. 6</t>
  </si>
  <si>
    <t>г. Мурманск, пр-зд Флотский, д. 3</t>
  </si>
  <si>
    <t>г. Мончегорск, ул. Металлургов, д. 5</t>
  </si>
  <si>
    <t>г. Мончегорск, ул. Металлургов, д. 11</t>
  </si>
  <si>
    <t>г. Полярные Зори, ул. Ломоносова, д. 10</t>
  </si>
  <si>
    <t>н. п. Оленья Губа, ул. Строителей, д. 33</t>
  </si>
  <si>
    <t>г. Кандалакша, ул. Кандалакшское шоссе, д.25</t>
  </si>
  <si>
    <t>г.Заозерск, ул. Колышкина, д. 3</t>
  </si>
  <si>
    <t>г.Заозерск, пер. Гранитный, д. 4</t>
  </si>
  <si>
    <t>г.Заозерск, ул. Колышкина, д. 13</t>
  </si>
  <si>
    <t>г. Снежногорск Победы 7</t>
  </si>
  <si>
    <t>г. Мурманск, пр-д Михаила Бабикова, д. 16, п. 1, 2</t>
  </si>
  <si>
    <t>г. Североморск, ул. Сафонова, д. 5</t>
  </si>
  <si>
    <t>нп Зверосовхоз, ул. Зеленая, д. 3</t>
  </si>
  <si>
    <t>нп Зверосовхоз, ул. Зеленая, д. 2</t>
  </si>
  <si>
    <t>г.Гаджиево,  ул. Ленина, д. 39</t>
  </si>
  <si>
    <t>Муниципальное образование Кандалакшский муниципальный район</t>
  </si>
  <si>
    <t xml:space="preserve"> Муниципальное образование Кольский муниципальный район</t>
  </si>
  <si>
    <t>Муниципальное образование Ловозерский муниципальный район</t>
  </si>
  <si>
    <t xml:space="preserve"> Муниципальное образование Терский муниципальный район</t>
  </si>
  <si>
    <t>с. Алакуртти, пер. Лесной, д. 3</t>
  </si>
  <si>
    <t>г. Кандалакша, ул. Школьный проезд, д. 10</t>
  </si>
  <si>
    <t>г. Мурманск, ул. Володарского, д. 12</t>
  </si>
  <si>
    <t>г. Мурманск, ул. Юрия Гагарина, д. 49</t>
  </si>
  <si>
    <t>г. Мурманск, ул. Генерала Журбы, д. 10</t>
  </si>
  <si>
    <t>спец. счет</t>
  </si>
  <si>
    <t>спец. Счет НКО ФКР МО</t>
  </si>
  <si>
    <t>г. Мурманск, пр-д Михаила Бабикова, д. 14, п. 1, 2</t>
  </si>
  <si>
    <t>г. Мурманск, ул. Сафонова, д. 26</t>
  </si>
  <si>
    <t>г. Мурманск, ул. Папанина, д. 21</t>
  </si>
  <si>
    <t>г. Мурманск, ул. Свердлова, д. 2 корп. 3</t>
  </si>
  <si>
    <t>г. Мурманск, ул. Лесная, д. 12</t>
  </si>
  <si>
    <t>г. Мурманск, пр. Ленина, д. 94</t>
  </si>
  <si>
    <t>г. Полярный Душенова 9</t>
  </si>
  <si>
    <t>г. Мурманск, ул. Бочкова, д. 5</t>
  </si>
  <si>
    <t>2023*****</t>
  </si>
  <si>
    <t>2023******</t>
  </si>
  <si>
    <t>****** Ремонт ВДИС электроснабжения, теплоснабжения, ХВС, ГВС, водоотведения предусмотрен со сроком окончания в 2022 году.</t>
  </si>
  <si>
    <r>
      <t>2023</t>
    </r>
    <r>
      <rPr>
        <sz val="10"/>
        <rFont val="Times New Roman"/>
        <family val="1"/>
        <charset val="204"/>
      </rPr>
      <t>*******</t>
    </r>
  </si>
  <si>
    <t>******* Ремонт ИТП предусмотрен со сроком окончания в 2022 году.»</t>
  </si>
  <si>
    <t>***** Ремонт ВДИС теплоснабжения, водоотведения, крыши, фасада предусмотрен со сроком окончания в 2022 году.</t>
  </si>
  <si>
    <t>Итого Кандалакшский муниципальный район на 2021 год:</t>
  </si>
  <si>
    <t>Итого Кольский муниципальный район на 2021 год:</t>
  </si>
  <si>
    <t>Итого Ловозерский муниципальный район на 2021 год:</t>
  </si>
  <si>
    <t>Итого Печенгский муниципальный округ на 2021 год:</t>
  </si>
  <si>
    <t>Итого Кандалакшский муниципальный район на 2022 год:</t>
  </si>
  <si>
    <t>Итого Кольский муниципальный район на 2022 год:</t>
  </si>
  <si>
    <t>Итого Терский муниципальный район на 2022 год:</t>
  </si>
  <si>
    <t>**** Ремонт крыши предусмотрен со сроком окончания в 2022 году.</t>
  </si>
  <si>
    <t>** Ремонт подвального помещения по проспекту Ленина, дом 5, в городе Кировске предусмотрен со сроком окончания работ в 2021 году.</t>
  </si>
  <si>
    <t>*** Ремонт крыши по улице Фрунзе, дом 19, предусмотрен со сроком окончания работ в 2022 году.</t>
  </si>
  <si>
    <t>Итого Ловозерский муниципальный район на 2022 год:</t>
  </si>
  <si>
    <t>от ________ № ________</t>
  </si>
  <si>
    <t>пгт Умба, ул. 8 марта, д. 2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</si>
</sst>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_-;\-* #,##0.00_-;_-* &quot;-&quot;??_-;_-@_-"/>
    <numFmt numFmtId="166" formatCode="#,##0.0"/>
    <numFmt numFmtId="167" formatCode="_-* #,##0_р_._-;\-* #,##0_р_._-;_-* &quot;-&quot;??_р_._-;_-@_-"/>
    <numFmt numFmtId="168" formatCode="#,##0.00_ ;\-#,##0.00\ "/>
    <numFmt numFmtId="169" formatCode="_-* #,##0.00_р_._-;\-* #,##0.00_р_._-;_-* &quot;-&quot;?_р_._-;_-@_-"/>
    <numFmt numFmtId="170" formatCode="_-* #,##0.0_р_._-;\-* #,##0.0_р_._-;_-* &quot;-&quot;??_р_._-;_-@_-"/>
    <numFmt numFmtId="171" formatCode="#,##0.0_р_.;\-#,##0.0_р_."/>
    <numFmt numFmtId="172" formatCode="0.0"/>
    <numFmt numFmtId="173" formatCode="#,##0.00\ _₽"/>
    <numFmt numFmtId="174" formatCode="#,##0.0_ ;\-#,##0.0\ "/>
  </numFmts>
  <fonts count="2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40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166" fontId="11" fillId="0" borderId="0" applyBorder="0" applyProtection="0"/>
    <xf numFmtId="0" fontId="1" fillId="0" borderId="0" applyNumberFormat="0" applyBorder="0" applyProtection="0">
      <alignment horizontal="left" vertical="center" wrapText="1"/>
    </xf>
    <xf numFmtId="0" fontId="5" fillId="0" borderId="0"/>
    <xf numFmtId="0" fontId="1" fillId="0" borderId="0" applyNumberFormat="0" applyBorder="0" applyProtection="0">
      <alignment horizontal="left" vertical="center" wrapText="1"/>
    </xf>
    <xf numFmtId="0" fontId="1" fillId="0" borderId="0" applyNumberFormat="0" applyBorder="0" applyProtection="0">
      <alignment horizontal="left" vertical="center" wrapText="1"/>
    </xf>
    <xf numFmtId="0" fontId="1" fillId="0" borderId="0" applyNumberFormat="0" applyBorder="0" applyProtection="0">
      <alignment horizontal="left" vertical="center" wrapText="1"/>
    </xf>
    <xf numFmtId="0" fontId="9" fillId="0" borderId="0"/>
    <xf numFmtId="0" fontId="1" fillId="0" borderId="0" applyNumberFormat="0" applyBorder="0" applyProtection="0">
      <alignment horizontal="left" vertical="center"/>
    </xf>
    <xf numFmtId="0" fontId="9" fillId="0" borderId="0"/>
    <xf numFmtId="0" fontId="9" fillId="0" borderId="0"/>
    <xf numFmtId="0" fontId="9" fillId="0" borderId="0"/>
    <xf numFmtId="0" fontId="1" fillId="0" borderId="0" applyNumberFormat="0" applyBorder="0" applyProtection="0">
      <alignment horizontal="left" vertical="center" wrapText="1"/>
    </xf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43" fontId="1" fillId="0" borderId="0" applyFont="0" applyFill="0" applyBorder="0" applyAlignment="0" applyProtection="0">
      <alignment horizontal="left" vertical="center" wrapText="1"/>
    </xf>
    <xf numFmtId="43" fontId="1" fillId="0" borderId="0" applyFont="0" applyFill="0" applyBorder="0" applyAlignment="0" applyProtection="0">
      <alignment horizontal="left" vertical="center" wrapText="1"/>
    </xf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338">
    <xf numFmtId="0" fontId="0" fillId="0" borderId="0" xfId="0"/>
    <xf numFmtId="43" fontId="2" fillId="0" borderId="1" xfId="27" applyFont="1" applyFill="1" applyBorder="1" applyAlignment="1">
      <alignment horizontal="right" vertical="center" wrapText="1"/>
    </xf>
    <xf numFmtId="43" fontId="2" fillId="0" borderId="4" xfId="27" applyFont="1" applyFill="1" applyBorder="1" applyAlignment="1">
      <alignment horizontal="right" vertical="center" wrapText="1"/>
    </xf>
    <xf numFmtId="43" fontId="2" fillId="0" borderId="5" xfId="27" applyFont="1" applyFill="1" applyBorder="1" applyAlignment="1">
      <alignment horizontal="right" vertical="center" wrapText="1"/>
    </xf>
    <xf numFmtId="43" fontId="2" fillId="0" borderId="6" xfId="27" applyFont="1" applyFill="1" applyBorder="1" applyAlignment="1">
      <alignment horizontal="right" vertical="center" wrapText="1"/>
    </xf>
    <xf numFmtId="43" fontId="2" fillId="0" borderId="13" xfId="27" applyFont="1" applyFill="1" applyBorder="1" applyAlignment="1">
      <alignment horizontal="right" vertical="center" wrapText="1"/>
    </xf>
    <xf numFmtId="43" fontId="2" fillId="0" borderId="8" xfId="27" applyFont="1" applyFill="1" applyBorder="1" applyAlignment="1">
      <alignment horizontal="right" vertical="center" wrapText="1"/>
    </xf>
    <xf numFmtId="43" fontId="2" fillId="0" borderId="2" xfId="27" applyFont="1" applyFill="1" applyBorder="1" applyAlignment="1">
      <alignment horizontal="right" vertical="center" wrapText="1"/>
    </xf>
    <xf numFmtId="43" fontId="2" fillId="0" borderId="21" xfId="27" applyFont="1" applyFill="1" applyBorder="1" applyAlignment="1">
      <alignment horizontal="right" vertical="center" wrapText="1"/>
    </xf>
    <xf numFmtId="43" fontId="2" fillId="0" borderId="7" xfId="27" applyFont="1" applyFill="1" applyBorder="1" applyAlignment="1">
      <alignment horizontal="right" vertical="center" wrapText="1"/>
    </xf>
    <xf numFmtId="43" fontId="2" fillId="0" borderId="3" xfId="27" applyFont="1" applyFill="1" applyBorder="1" applyAlignment="1">
      <alignment horizontal="right" vertical="center" wrapText="1"/>
    </xf>
    <xf numFmtId="43" fontId="2" fillId="0" borderId="0" xfId="27" applyFont="1" applyFill="1" applyBorder="1" applyAlignment="1">
      <alignment horizontal="right" vertical="center" wrapText="1"/>
    </xf>
    <xf numFmtId="170" fontId="2" fillId="0" borderId="1" xfId="27" applyNumberFormat="1" applyFont="1" applyFill="1" applyBorder="1" applyAlignment="1">
      <alignment horizontal="right" vertical="center" wrapText="1"/>
    </xf>
    <xf numFmtId="4" fontId="2" fillId="0" borderId="1" xfId="27" applyNumberFormat="1" applyFont="1" applyFill="1" applyBorder="1" applyAlignment="1">
      <alignment horizontal="right" vertical="center" wrapText="1"/>
    </xf>
    <xf numFmtId="166" fontId="6" fillId="0" borderId="1" xfId="27" applyNumberFormat="1" applyFont="1" applyFill="1" applyBorder="1" applyAlignment="1">
      <alignment horizontal="right" vertical="center" wrapText="1"/>
    </xf>
    <xf numFmtId="4" fontId="6" fillId="0" borderId="1" xfId="27" applyNumberFormat="1" applyFont="1" applyFill="1" applyBorder="1" applyAlignment="1">
      <alignment horizontal="right" vertical="center" wrapText="1"/>
    </xf>
    <xf numFmtId="43" fontId="6" fillId="0" borderId="1" xfId="27" applyFont="1" applyFill="1" applyBorder="1" applyAlignment="1">
      <alignment horizontal="center" vertical="center" wrapText="1"/>
    </xf>
    <xf numFmtId="165" fontId="1" fillId="0" borderId="0" xfId="30" applyFont="1" applyFill="1" applyAlignment="1">
      <alignment horizontal="left" vertical="center" wrapText="1"/>
    </xf>
    <xf numFmtId="43" fontId="1" fillId="0" borderId="0" xfId="27" applyFont="1" applyFill="1" applyBorder="1" applyAlignment="1">
      <alignment horizontal="right" vertical="top" wrapText="1"/>
    </xf>
    <xf numFmtId="43" fontId="1" fillId="0" borderId="0" xfId="27" applyFont="1" applyFill="1" applyBorder="1" applyAlignment="1">
      <alignment horizontal="right" vertical="center" wrapText="1"/>
    </xf>
    <xf numFmtId="43" fontId="3" fillId="0" borderId="0" xfId="27" applyFont="1" applyFill="1" applyAlignment="1">
      <alignment horizontal="right" vertical="center" wrapText="1"/>
    </xf>
    <xf numFmtId="4" fontId="3" fillId="0" borderId="0" xfId="27" applyNumberFormat="1" applyFont="1" applyFill="1" applyAlignment="1">
      <alignment horizontal="right" vertical="center" wrapText="1"/>
    </xf>
    <xf numFmtId="4" fontId="2" fillId="0" borderId="1" xfId="27" applyNumberFormat="1" applyFont="1" applyFill="1" applyBorder="1" applyAlignment="1">
      <alignment horizontal="center" vertical="center" textRotation="90" wrapText="1"/>
    </xf>
    <xf numFmtId="43" fontId="2" fillId="0" borderId="1" xfId="27" applyFont="1" applyFill="1" applyBorder="1" applyAlignment="1">
      <alignment horizontal="center" vertical="center" wrapText="1"/>
    </xf>
    <xf numFmtId="4" fontId="2" fillId="0" borderId="1" xfId="27" applyNumberFormat="1" applyFont="1" applyFill="1" applyBorder="1" applyAlignment="1">
      <alignment horizontal="center" vertical="center" wrapText="1"/>
    </xf>
    <xf numFmtId="0" fontId="2" fillId="0" borderId="1" xfId="27" applyNumberFormat="1" applyFont="1" applyFill="1" applyBorder="1" applyAlignment="1">
      <alignment horizontal="center" vertical="center" wrapText="1"/>
    </xf>
    <xf numFmtId="3" fontId="2" fillId="0" borderId="1" xfId="27" applyNumberFormat="1" applyFont="1" applyFill="1" applyBorder="1" applyAlignment="1">
      <alignment horizontal="center" vertical="center" wrapText="1"/>
    </xf>
    <xf numFmtId="43" fontId="6" fillId="0" borderId="1" xfId="27" applyFont="1" applyFill="1" applyBorder="1" applyAlignment="1">
      <alignment horizontal="right" vertical="center" wrapText="1"/>
    </xf>
    <xf numFmtId="167" fontId="2" fillId="0" borderId="1" xfId="27" applyNumberFormat="1" applyFont="1" applyFill="1" applyBorder="1" applyAlignment="1">
      <alignment horizontal="center" vertical="center" wrapText="1"/>
    </xf>
    <xf numFmtId="166" fontId="2" fillId="0" borderId="1" xfId="27" applyNumberFormat="1" applyFont="1" applyFill="1" applyBorder="1" applyAlignment="1">
      <alignment vertical="center" wrapText="1"/>
    </xf>
    <xf numFmtId="164" fontId="2" fillId="0" borderId="1" xfId="27" applyNumberFormat="1" applyFont="1" applyFill="1" applyBorder="1" applyAlignment="1">
      <alignment horizontal="right" vertical="center" wrapText="1"/>
    </xf>
    <xf numFmtId="168" fontId="2" fillId="0" borderId="1" xfId="27" applyNumberFormat="1" applyFont="1" applyFill="1" applyBorder="1" applyAlignment="1">
      <alignment horizontal="right" vertical="center"/>
    </xf>
    <xf numFmtId="166" fontId="2" fillId="0" borderId="1" xfId="27" applyNumberFormat="1" applyFont="1" applyFill="1" applyBorder="1" applyAlignment="1">
      <alignment horizontal="right" vertical="center"/>
    </xf>
    <xf numFmtId="166" fontId="2" fillId="0" borderId="1" xfId="27" applyNumberFormat="1" applyFont="1" applyFill="1" applyBorder="1" applyAlignment="1">
      <alignment horizontal="right" vertical="center" wrapText="1"/>
    </xf>
    <xf numFmtId="1" fontId="2" fillId="0" borderId="1" xfId="27" applyNumberFormat="1" applyFont="1" applyFill="1" applyBorder="1" applyAlignment="1">
      <alignment horizontal="center" vertical="center" wrapText="1"/>
    </xf>
    <xf numFmtId="170" fontId="6" fillId="0" borderId="1" xfId="27" applyNumberFormat="1" applyFont="1" applyFill="1" applyBorder="1" applyAlignment="1">
      <alignment horizontal="right" vertical="center" wrapText="1"/>
    </xf>
    <xf numFmtId="49" fontId="2" fillId="0" borderId="1" xfId="27" applyNumberFormat="1" applyFont="1" applyFill="1" applyBorder="1" applyAlignment="1">
      <alignment horizontal="center" wrapText="1"/>
    </xf>
    <xf numFmtId="168" fontId="6" fillId="0" borderId="1" xfId="27" applyNumberFormat="1" applyFont="1" applyFill="1" applyBorder="1" applyAlignment="1">
      <alignment horizontal="right" vertical="center" wrapText="1"/>
    </xf>
    <xf numFmtId="168" fontId="2" fillId="0" borderId="1" xfId="27" applyNumberFormat="1" applyFont="1" applyFill="1" applyBorder="1" applyAlignment="1">
      <alignment horizontal="right" vertical="center" wrapText="1"/>
    </xf>
    <xf numFmtId="166" fontId="2" fillId="0" borderId="12" xfId="27" applyNumberFormat="1" applyFont="1" applyFill="1" applyBorder="1" applyAlignment="1">
      <alignment wrapText="1"/>
    </xf>
    <xf numFmtId="2" fontId="2" fillId="0" borderId="1" xfId="27" applyNumberFormat="1" applyFont="1" applyFill="1" applyBorder="1" applyAlignment="1">
      <alignment horizontal="right" vertical="center" wrapText="1"/>
    </xf>
    <xf numFmtId="43" fontId="2" fillId="0" borderId="14" xfId="27" applyFont="1" applyFill="1" applyBorder="1" applyAlignment="1">
      <alignment horizontal="right" vertical="center" wrapText="1"/>
    </xf>
    <xf numFmtId="0" fontId="2" fillId="0" borderId="1" xfId="27" applyNumberFormat="1" applyFont="1" applyFill="1" applyBorder="1" applyAlignment="1">
      <alignment horizontal="center"/>
    </xf>
    <xf numFmtId="166" fontId="2" fillId="0" borderId="1" xfId="27" applyNumberFormat="1" applyFont="1" applyFill="1" applyBorder="1" applyAlignment="1">
      <alignment horizontal="right"/>
    </xf>
    <xf numFmtId="172" fontId="2" fillId="0" borderId="1" xfId="27" applyNumberFormat="1" applyFont="1" applyFill="1" applyBorder="1" applyAlignment="1">
      <alignment horizontal="right"/>
    </xf>
    <xf numFmtId="0" fontId="2" fillId="0" borderId="1" xfId="27" applyNumberFormat="1" applyFont="1" applyFill="1" applyBorder="1" applyAlignment="1">
      <alignment vertical="center"/>
    </xf>
    <xf numFmtId="173" fontId="2" fillId="0" borderId="1" xfId="27" applyNumberFormat="1" applyFont="1" applyFill="1" applyBorder="1" applyAlignment="1">
      <alignment horizontal="right" vertical="center" wrapText="1"/>
    </xf>
    <xf numFmtId="166" fontId="2" fillId="0" borderId="5" xfId="27" applyNumberFormat="1" applyFont="1" applyFill="1" applyBorder="1" applyAlignment="1">
      <alignment horizontal="right" vertical="center" wrapText="1"/>
    </xf>
    <xf numFmtId="174" fontId="2" fillId="0" borderId="1" xfId="27" applyNumberFormat="1" applyFont="1" applyFill="1" applyBorder="1" applyAlignment="1">
      <alignment horizontal="right" vertical="center" wrapText="1"/>
    </xf>
    <xf numFmtId="43" fontId="2" fillId="0" borderId="11" xfId="27" applyFont="1" applyFill="1" applyBorder="1" applyAlignment="1">
      <alignment horizontal="right" vertical="center" wrapText="1"/>
    </xf>
    <xf numFmtId="165" fontId="14" fillId="0" borderId="0" xfId="30" applyFont="1" applyFill="1" applyAlignment="1">
      <alignment horizontal="left" vertical="center" wrapText="1"/>
    </xf>
    <xf numFmtId="43" fontId="2" fillId="0" borderId="22" xfId="27" applyFont="1" applyFill="1" applyBorder="1" applyAlignment="1">
      <alignment horizontal="right" vertical="center" wrapText="1"/>
    </xf>
    <xf numFmtId="165" fontId="1" fillId="0" borderId="0" xfId="30" applyFont="1" applyFill="1" applyBorder="1" applyAlignment="1">
      <alignment horizontal="left" vertical="center" wrapText="1"/>
    </xf>
    <xf numFmtId="0" fontId="2" fillId="0" borderId="8" xfId="27" applyNumberFormat="1" applyFont="1" applyFill="1" applyBorder="1" applyAlignment="1">
      <alignment horizontal="center"/>
    </xf>
    <xf numFmtId="4" fontId="1" fillId="0" borderId="0" xfId="27" applyNumberFormat="1" applyFont="1" applyFill="1" applyAlignment="1">
      <alignment horizontal="right" vertical="center" wrapText="1"/>
    </xf>
    <xf numFmtId="4" fontId="1" fillId="0" borderId="0" xfId="27" applyNumberFormat="1" applyFont="1" applyFill="1" applyBorder="1" applyAlignment="1">
      <alignment horizontal="right" vertical="center" wrapText="1"/>
    </xf>
    <xf numFmtId="165" fontId="1" fillId="0" borderId="0" xfId="30" applyFont="1" applyFill="1" applyAlignment="1">
      <alignment horizontal="right" vertical="center" wrapText="1"/>
    </xf>
    <xf numFmtId="43" fontId="6" fillId="0" borderId="23" xfId="27" applyFont="1" applyFill="1" applyBorder="1" applyAlignment="1">
      <alignment horizontal="center" vertical="center" wrapText="1"/>
    </xf>
    <xf numFmtId="0" fontId="1" fillId="0" borderId="0" xfId="8" applyBorder="1" applyAlignment="1">
      <alignment horizontal="center" vertical="center" wrapText="1"/>
    </xf>
    <xf numFmtId="0" fontId="1" fillId="0" borderId="0" xfId="8" applyBorder="1" applyAlignment="1">
      <alignment horizontal="center" wrapText="1"/>
    </xf>
    <xf numFmtId="0" fontId="1" fillId="0" borderId="0" xfId="8" applyBorder="1" applyAlignment="1">
      <alignment horizontal="center" vertical="top" wrapText="1"/>
    </xf>
    <xf numFmtId="4" fontId="1" fillId="0" borderId="0" xfId="8" applyNumberFormat="1" applyBorder="1" applyAlignment="1">
      <alignment horizontal="right" vertical="top" wrapText="1"/>
    </xf>
    <xf numFmtId="0" fontId="1" fillId="0" borderId="0" xfId="8" applyBorder="1" applyAlignment="1">
      <alignment horizontal="right" vertical="top" wrapText="1"/>
    </xf>
    <xf numFmtId="0" fontId="1" fillId="0" borderId="0" xfId="8">
      <alignment horizontal="left" vertical="center" wrapText="1"/>
    </xf>
    <xf numFmtId="0" fontId="1" fillId="0" borderId="0" xfId="8" applyBorder="1">
      <alignment horizontal="left" vertical="center" wrapText="1"/>
    </xf>
    <xf numFmtId="4" fontId="1" fillId="0" borderId="0" xfId="8" applyNumberFormat="1" applyBorder="1" applyAlignment="1">
      <alignment horizontal="right" vertical="center" wrapText="1"/>
    </xf>
    <xf numFmtId="0" fontId="1" fillId="0" borderId="0" xfId="8" applyBorder="1" applyAlignment="1">
      <alignment horizontal="right" vertical="center" wrapText="1"/>
    </xf>
    <xf numFmtId="0" fontId="1" fillId="0" borderId="0" xfId="8" applyAlignment="1">
      <alignment horizontal="right" vertical="center" wrapText="1"/>
    </xf>
    <xf numFmtId="0" fontId="2" fillId="0" borderId="0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wrapText="1"/>
    </xf>
    <xf numFmtId="4" fontId="2" fillId="0" borderId="0" xfId="8" applyNumberFormat="1" applyFont="1" applyBorder="1" applyAlignment="1">
      <alignment horizontal="right" vertical="center" wrapText="1"/>
    </xf>
    <xf numFmtId="0" fontId="2" fillId="0" borderId="0" xfId="8" applyFont="1" applyBorder="1" applyAlignment="1">
      <alignment horizontal="right" vertical="center" wrapText="1"/>
    </xf>
    <xf numFmtId="0" fontId="3" fillId="0" borderId="0" xfId="8" applyFont="1" applyAlignment="1">
      <alignment horizontal="center" vertical="center" wrapText="1"/>
    </xf>
    <xf numFmtId="0" fontId="3" fillId="0" borderId="0" xfId="8" applyFont="1" applyAlignment="1">
      <alignment horizontal="center" wrapText="1"/>
    </xf>
    <xf numFmtId="4" fontId="3" fillId="0" borderId="0" xfId="8" applyNumberFormat="1" applyFont="1" applyAlignment="1">
      <alignment horizontal="right" vertical="center" wrapText="1"/>
    </xf>
    <xf numFmtId="4" fontId="3" fillId="0" borderId="0" xfId="8" applyNumberFormat="1" applyFont="1" applyBorder="1" applyAlignment="1">
      <alignment horizontal="right" vertical="center" wrapText="1"/>
    </xf>
    <xf numFmtId="0" fontId="3" fillId="0" borderId="0" xfId="8" applyFont="1" applyAlignment="1">
      <alignment horizontal="right" vertical="center" wrapText="1"/>
    </xf>
    <xf numFmtId="0" fontId="2" fillId="0" borderId="1" xfId="8" applyFont="1" applyBorder="1" applyAlignment="1">
      <alignment horizontal="center" vertical="center" textRotation="90" wrapText="1"/>
    </xf>
    <xf numFmtId="4" fontId="2" fillId="0" borderId="1" xfId="8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textRotation="90" wrapText="1"/>
    </xf>
    <xf numFmtId="0" fontId="2" fillId="0" borderId="1" xfId="8" applyFont="1" applyBorder="1" applyAlignment="1">
      <alignment horizontal="center" wrapText="1"/>
    </xf>
    <xf numFmtId="3" fontId="2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wrapText="1"/>
    </xf>
    <xf numFmtId="3" fontId="6" fillId="0" borderId="1" xfId="8" applyNumberFormat="1" applyFont="1" applyBorder="1" applyAlignment="1">
      <alignment horizontal="center" vertical="center" wrapText="1"/>
    </xf>
    <xf numFmtId="166" fontId="6" fillId="0" borderId="1" xfId="8" applyNumberFormat="1" applyFont="1" applyBorder="1" applyAlignment="1">
      <alignment horizontal="right" vertical="center" wrapText="1"/>
    </xf>
    <xf numFmtId="4" fontId="6" fillId="0" borderId="1" xfId="8" applyNumberFormat="1" applyFont="1" applyBorder="1" applyAlignment="1">
      <alignment horizontal="right" vertical="center" wrapText="1"/>
    </xf>
    <xf numFmtId="14" fontId="2" fillId="0" borderId="1" xfId="8" applyNumberFormat="1" applyFont="1" applyBorder="1" applyAlignment="1">
      <alignment horizontal="center" wrapText="1"/>
    </xf>
    <xf numFmtId="14" fontId="2" fillId="0" borderId="1" xfId="8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/>
    </xf>
    <xf numFmtId="166" fontId="2" fillId="0" borderId="1" xfId="8" applyNumberFormat="1" applyFont="1" applyBorder="1" applyAlignment="1">
      <alignment horizontal="right" vertical="center"/>
    </xf>
    <xf numFmtId="4" fontId="2" fillId="0" borderId="1" xfId="8" applyNumberFormat="1" applyFont="1" applyBorder="1" applyAlignment="1">
      <alignment horizontal="right" vertical="center" wrapText="1"/>
    </xf>
    <xf numFmtId="166" fontId="2" fillId="0" borderId="1" xfId="8" applyNumberFormat="1" applyFont="1" applyBorder="1" applyAlignment="1">
      <alignment horizontal="right" vertical="center" wrapText="1"/>
    </xf>
    <xf numFmtId="0" fontId="2" fillId="0" borderId="1" xfId="18" applyFont="1" applyBorder="1" applyAlignment="1">
      <alignment horizontal="center" wrapText="1"/>
    </xf>
    <xf numFmtId="0" fontId="2" fillId="0" borderId="1" xfId="18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/>
    </xf>
    <xf numFmtId="166" fontId="2" fillId="0" borderId="1" xfId="8" applyNumberFormat="1" applyFont="1" applyBorder="1" applyAlignment="1">
      <alignment vertical="center"/>
    </xf>
    <xf numFmtId="168" fontId="2" fillId="0" borderId="1" xfId="8" applyNumberFormat="1" applyFont="1" applyBorder="1" applyAlignment="1">
      <alignment horizontal="right" vertical="center"/>
    </xf>
    <xf numFmtId="166" fontId="2" fillId="0" borderId="1" xfId="8" applyNumberFormat="1" applyFont="1" applyBorder="1" applyAlignment="1">
      <alignment vertical="center" wrapText="1"/>
    </xf>
    <xf numFmtId="0" fontId="2" fillId="0" borderId="10" xfId="8" applyNumberFormat="1" applyFont="1" applyBorder="1" applyAlignment="1">
      <alignment horizontal="center" wrapText="1"/>
    </xf>
    <xf numFmtId="3" fontId="2" fillId="0" borderId="1" xfId="8" applyNumberFormat="1" applyFont="1" applyBorder="1" applyAlignment="1">
      <alignment horizontal="center"/>
    </xf>
    <xf numFmtId="166" fontId="2" fillId="0" borderId="1" xfId="8" applyNumberFormat="1" applyFont="1" applyBorder="1" applyAlignment="1">
      <alignment horizontal="right" wrapText="1"/>
    </xf>
    <xf numFmtId="166" fontId="2" fillId="0" borderId="1" xfId="8" applyNumberFormat="1" applyFont="1" applyBorder="1" applyAlignment="1">
      <alignment horizontal="right"/>
    </xf>
    <xf numFmtId="4" fontId="2" fillId="0" borderId="1" xfId="8" applyNumberFormat="1" applyFont="1" applyBorder="1" applyAlignment="1">
      <alignment horizontal="right"/>
    </xf>
    <xf numFmtId="166" fontId="2" fillId="0" borderId="1" xfId="7" applyFont="1" applyBorder="1" applyAlignment="1" applyProtection="1">
      <alignment horizontal="right"/>
    </xf>
    <xf numFmtId="1" fontId="2" fillId="0" borderId="1" xfId="8" applyNumberFormat="1" applyFont="1" applyBorder="1" applyAlignment="1">
      <alignment horizontal="center" wrapText="1"/>
    </xf>
    <xf numFmtId="169" fontId="2" fillId="0" borderId="1" xfId="8" applyNumberFormat="1" applyFont="1" applyBorder="1" applyAlignment="1">
      <alignment horizontal="center" vertical="center" wrapText="1"/>
    </xf>
    <xf numFmtId="171" fontId="2" fillId="0" borderId="1" xfId="8" applyNumberFormat="1" applyFont="1" applyBorder="1" applyAlignment="1">
      <alignment horizontal="right" vertical="center" wrapText="1"/>
    </xf>
    <xf numFmtId="4" fontId="2" fillId="0" borderId="1" xfId="8" applyNumberFormat="1" applyFont="1" applyBorder="1" applyAlignment="1">
      <alignment horizontal="right" vertical="center"/>
    </xf>
    <xf numFmtId="0" fontId="2" fillId="0" borderId="1" xfId="8" applyFont="1" applyBorder="1" applyAlignment="1">
      <alignment horizontal="right" vertical="center" wrapText="1"/>
    </xf>
    <xf numFmtId="172" fontId="2" fillId="0" borderId="1" xfId="8" applyNumberFormat="1" applyFont="1" applyBorder="1" applyAlignment="1">
      <alignment horizontal="right" vertical="center" wrapText="1"/>
    </xf>
    <xf numFmtId="2" fontId="2" fillId="0" borderId="1" xfId="8" applyNumberFormat="1" applyFont="1" applyBorder="1" applyAlignment="1">
      <alignment horizontal="right" vertical="center" wrapText="1"/>
    </xf>
    <xf numFmtId="0" fontId="7" fillId="0" borderId="1" xfId="8" applyFont="1" applyBorder="1" applyAlignment="1">
      <alignment horizontal="center" vertical="center" wrapText="1"/>
    </xf>
    <xf numFmtId="0" fontId="2" fillId="0" borderId="1" xfId="8" applyNumberFormat="1" applyFont="1" applyBorder="1" applyAlignment="1">
      <alignment horizontal="center" vertical="center" wrapText="1"/>
    </xf>
    <xf numFmtId="172" fontId="2" fillId="0" borderId="1" xfId="8" applyNumberFormat="1" applyFont="1" applyBorder="1" applyAlignment="1">
      <alignment horizontal="right" wrapText="1"/>
    </xf>
    <xf numFmtId="0" fontId="2" fillId="0" borderId="1" xfId="12" applyFont="1" applyBorder="1" applyAlignment="1">
      <alignment horizontal="center" wrapText="1"/>
    </xf>
    <xf numFmtId="0" fontId="6" fillId="0" borderId="1" xfId="8" applyFont="1" applyBorder="1" applyAlignment="1">
      <alignment horizontal="center" vertical="center" wrapText="1"/>
    </xf>
    <xf numFmtId="166" fontId="2" fillId="0" borderId="1" xfId="12" applyNumberFormat="1" applyFont="1" applyBorder="1" applyAlignment="1">
      <alignment horizontal="right"/>
    </xf>
    <xf numFmtId="166" fontId="2" fillId="0" borderId="1" xfId="12" applyNumberFormat="1" applyFont="1" applyBorder="1" applyAlignment="1">
      <alignment horizontal="right" vertical="center" wrapText="1"/>
    </xf>
    <xf numFmtId="0" fontId="2" fillId="0" borderId="1" xfId="12" applyFont="1" applyBorder="1" applyAlignment="1">
      <alignment horizontal="center"/>
    </xf>
    <xf numFmtId="1" fontId="2" fillId="0" borderId="1" xfId="9" applyNumberFormat="1" applyFont="1" applyBorder="1" applyAlignment="1">
      <alignment horizontal="center" vertical="center" wrapText="1"/>
    </xf>
    <xf numFmtId="4" fontId="6" fillId="0" borderId="1" xfId="18" applyNumberFormat="1" applyFont="1" applyBorder="1" applyAlignment="1">
      <alignment horizontal="right" vertical="center" wrapText="1"/>
    </xf>
    <xf numFmtId="166" fontId="2" fillId="0" borderId="1" xfId="8" applyNumberFormat="1" applyFont="1" applyBorder="1" applyAlignment="1">
      <alignment wrapText="1"/>
    </xf>
    <xf numFmtId="0" fontId="2" fillId="0" borderId="1" xfId="8" applyFont="1" applyBorder="1" applyAlignment="1">
      <alignment horizontal="right" vertical="center"/>
    </xf>
    <xf numFmtId="166" fontId="2" fillId="0" borderId="1" xfId="8" applyNumberFormat="1" applyFont="1" applyBorder="1" applyAlignment="1"/>
    <xf numFmtId="49" fontId="2" fillId="0" borderId="1" xfId="8" applyNumberFormat="1" applyFont="1" applyBorder="1" applyAlignment="1">
      <alignment horizontal="center" wrapText="1"/>
    </xf>
    <xf numFmtId="0" fontId="2" fillId="0" borderId="9" xfId="8" applyFont="1" applyBorder="1" applyAlignment="1">
      <alignment horizontal="center" vertical="center" wrapText="1"/>
    </xf>
    <xf numFmtId="39" fontId="2" fillId="0" borderId="1" xfId="8" applyNumberFormat="1" applyFont="1" applyBorder="1" applyAlignment="1">
      <alignment horizontal="right" vertical="center" wrapText="1"/>
    </xf>
    <xf numFmtId="0" fontId="2" fillId="0" borderId="8" xfId="8" applyFont="1" applyBorder="1" applyAlignment="1">
      <alignment horizontal="center" vertical="center" wrapText="1"/>
    </xf>
    <xf numFmtId="165" fontId="2" fillId="0" borderId="0" xfId="30" applyFont="1" applyFill="1"/>
    <xf numFmtId="166" fontId="2" fillId="0" borderId="7" xfId="8" applyNumberFormat="1" applyFont="1" applyBorder="1" applyAlignment="1">
      <alignment horizontal="right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wrapText="1"/>
    </xf>
    <xf numFmtId="166" fontId="2" fillId="0" borderId="8" xfId="8" applyNumberFormat="1" applyFont="1" applyBorder="1" applyAlignment="1">
      <alignment horizontal="right" wrapText="1"/>
    </xf>
    <xf numFmtId="0" fontId="2" fillId="0" borderId="8" xfId="12" applyFont="1" applyBorder="1" applyAlignment="1">
      <alignment horizontal="center"/>
    </xf>
    <xf numFmtId="166" fontId="2" fillId="0" borderId="8" xfId="12" applyNumberFormat="1" applyFont="1" applyBorder="1" applyAlignment="1">
      <alignment horizontal="right"/>
    </xf>
    <xf numFmtId="0" fontId="1" fillId="0" borderId="1" xfId="8" applyBorder="1" applyAlignment="1">
      <alignment horizontal="right" vertical="center" wrapText="1"/>
    </xf>
    <xf numFmtId="164" fontId="2" fillId="0" borderId="1" xfId="8" applyNumberFormat="1" applyFont="1" applyBorder="1" applyAlignment="1">
      <alignment horizontal="right" vertical="center" wrapText="1"/>
    </xf>
    <xf numFmtId="0" fontId="2" fillId="0" borderId="1" xfId="8" applyNumberFormat="1" applyFont="1" applyBorder="1" applyAlignment="1">
      <alignment vertical="center"/>
    </xf>
    <xf numFmtId="0" fontId="1" fillId="0" borderId="1" xfId="8" applyBorder="1">
      <alignment horizontal="left" vertical="center" wrapText="1"/>
    </xf>
    <xf numFmtId="0" fontId="2" fillId="0" borderId="1" xfId="8" applyNumberFormat="1" applyFont="1" applyBorder="1" applyAlignment="1">
      <alignment vertical="center" wrapText="1"/>
    </xf>
    <xf numFmtId="173" fontId="2" fillId="0" borderId="1" xfId="8" applyNumberFormat="1" applyFont="1" applyBorder="1" applyAlignment="1">
      <alignment horizontal="right" vertical="center" wrapText="1"/>
    </xf>
    <xf numFmtId="43" fontId="2" fillId="0" borderId="1" xfId="8" applyNumberFormat="1" applyFont="1" applyBorder="1" applyAlignment="1">
      <alignment horizontal="right" vertical="center" wrapText="1"/>
    </xf>
    <xf numFmtId="166" fontId="2" fillId="0" borderId="8" xfId="8" applyNumberFormat="1" applyFont="1" applyBorder="1" applyAlignment="1">
      <alignment horizontal="right" vertical="center" wrapText="1"/>
    </xf>
    <xf numFmtId="4" fontId="2" fillId="0" borderId="1" xfId="8" applyNumberFormat="1" applyFont="1" applyBorder="1" applyAlignment="1">
      <alignment horizontal="right" vertical="top" wrapText="1"/>
    </xf>
    <xf numFmtId="4" fontId="2" fillId="0" borderId="1" xfId="18" applyNumberFormat="1" applyFont="1" applyBorder="1" applyAlignment="1">
      <alignment horizontal="right" vertical="center" wrapText="1"/>
    </xf>
    <xf numFmtId="0" fontId="2" fillId="0" borderId="5" xfId="8" applyFont="1" applyBorder="1" applyAlignment="1">
      <alignment horizontal="center" wrapText="1"/>
    </xf>
    <xf numFmtId="166" fontId="2" fillId="0" borderId="12" xfId="8" applyNumberFormat="1" applyFont="1" applyBorder="1" applyAlignment="1">
      <alignment wrapText="1"/>
    </xf>
    <xf numFmtId="166" fontId="2" fillId="0" borderId="5" xfId="8" applyNumberFormat="1" applyFont="1" applyBorder="1" applyAlignment="1">
      <alignment horizontal="right" vertical="center" wrapText="1"/>
    </xf>
    <xf numFmtId="0" fontId="1" fillId="0" borderId="1" xfId="8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173" fontId="16" fillId="0" borderId="0" xfId="0" applyNumberFormat="1" applyFont="1" applyAlignment="1">
      <alignment horizontal="right" vertical="center" wrapText="1"/>
    </xf>
    <xf numFmtId="173" fontId="16" fillId="0" borderId="1" xfId="30" applyNumberFormat="1" applyFont="1" applyFill="1" applyBorder="1" applyAlignment="1">
      <alignment horizontal="right" vertical="center" wrapText="1"/>
    </xf>
    <xf numFmtId="4" fontId="17" fillId="0" borderId="0" xfId="0" applyNumberFormat="1" applyFont="1" applyAlignment="1">
      <alignment vertical="center" wrapText="1"/>
    </xf>
    <xf numFmtId="0" fontId="4" fillId="0" borderId="1" xfId="8" applyFont="1" applyBorder="1" applyAlignment="1">
      <alignment horizontal="center" wrapText="1"/>
    </xf>
    <xf numFmtId="4" fontId="18" fillId="0" borderId="0" xfId="0" applyNumberFormat="1" applyFont="1" applyAlignment="1">
      <alignment horizontal="center" vertical="center"/>
    </xf>
    <xf numFmtId="173" fontId="2" fillId="0" borderId="0" xfId="0" applyNumberFormat="1" applyFont="1" applyAlignment="1">
      <alignment horizontal="right" vertical="center" wrapText="1"/>
    </xf>
    <xf numFmtId="43" fontId="2" fillId="0" borderId="24" xfId="27" applyFont="1" applyFill="1" applyBorder="1" applyAlignment="1">
      <alignment horizontal="right" vertical="center" wrapText="1"/>
    </xf>
    <xf numFmtId="43" fontId="2" fillId="0" borderId="25" xfId="27" applyFont="1" applyFill="1" applyBorder="1" applyAlignment="1">
      <alignment horizontal="right" vertical="center" wrapText="1"/>
    </xf>
    <xf numFmtId="43" fontId="2" fillId="0" borderId="26" xfId="27" applyFont="1" applyFill="1" applyBorder="1" applyAlignment="1">
      <alignment horizontal="right" vertical="center" wrapText="1"/>
    </xf>
    <xf numFmtId="0" fontId="1" fillId="0" borderId="1" xfId="8" applyBorder="1" applyAlignment="1">
      <alignment horizontal="center" wrapText="1"/>
    </xf>
    <xf numFmtId="4" fontId="18" fillId="0" borderId="0" xfId="0" applyNumberFormat="1" applyFont="1" applyAlignment="1">
      <alignment horizontal="center" vertical="center" wrapText="1"/>
    </xf>
    <xf numFmtId="165" fontId="2" fillId="0" borderId="1" xfId="30" applyFont="1" applyFill="1" applyBorder="1" applyAlignment="1">
      <alignment horizontal="right" vertical="center" wrapText="1"/>
    </xf>
    <xf numFmtId="166" fontId="2" fillId="0" borderId="0" xfId="8" applyNumberFormat="1" applyFont="1" applyAlignment="1">
      <alignment horizontal="right"/>
    </xf>
    <xf numFmtId="0" fontId="6" fillId="0" borderId="11" xfId="8" applyFont="1" applyBorder="1" applyAlignment="1">
      <alignment horizontal="center" wrapText="1"/>
    </xf>
    <xf numFmtId="43" fontId="2" fillId="0" borderId="30" xfId="27" applyFont="1" applyFill="1" applyBorder="1" applyAlignment="1">
      <alignment horizontal="right" vertical="center" wrapText="1"/>
    </xf>
    <xf numFmtId="0" fontId="1" fillId="0" borderId="0" xfId="8" applyAlignment="1">
      <alignment horizontal="center" vertical="center" wrapText="1"/>
    </xf>
    <xf numFmtId="4" fontId="1" fillId="0" borderId="0" xfId="8" applyNumberFormat="1" applyAlignment="1">
      <alignment horizontal="right" vertical="center" wrapText="1"/>
    </xf>
    <xf numFmtId="0" fontId="2" fillId="0" borderId="0" xfId="8" applyFont="1">
      <alignment horizontal="left" vertical="center" wrapText="1"/>
    </xf>
    <xf numFmtId="2" fontId="1" fillId="0" borderId="0" xfId="8" applyNumberForma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1" fillId="0" borderId="15" xfId="8" applyBorder="1">
      <alignment horizontal="left" vertical="center" wrapText="1"/>
    </xf>
    <xf numFmtId="43" fontId="14" fillId="0" borderId="1" xfId="27" applyFont="1" applyFill="1" applyBorder="1" applyAlignment="1">
      <alignment horizontal="right" vertical="center" wrapText="1"/>
    </xf>
    <xf numFmtId="164" fontId="6" fillId="0" borderId="1" xfId="27" applyNumberFormat="1" applyFont="1" applyFill="1" applyBorder="1" applyAlignment="1">
      <alignment horizontal="right" vertical="center" wrapText="1"/>
    </xf>
    <xf numFmtId="43" fontId="2" fillId="9" borderId="1" xfId="27" applyFont="1" applyFill="1" applyBorder="1" applyAlignment="1">
      <alignment horizontal="right" vertical="center" wrapText="1"/>
    </xf>
    <xf numFmtId="0" fontId="1" fillId="0" borderId="0" xfId="8" applyFill="1">
      <alignment horizontal="left" vertical="center" wrapText="1"/>
    </xf>
    <xf numFmtId="0" fontId="2" fillId="0" borderId="1" xfId="8" applyFont="1" applyFill="1" applyBorder="1" applyAlignment="1">
      <alignment horizontal="center" vertical="center"/>
    </xf>
    <xf numFmtId="0" fontId="2" fillId="0" borderId="9" xfId="8" applyFont="1" applyFill="1" applyBorder="1" applyAlignment="1"/>
    <xf numFmtId="0" fontId="2" fillId="0" borderId="10" xfId="8" applyNumberFormat="1" applyFont="1" applyFill="1" applyBorder="1" applyAlignment="1">
      <alignment horizontal="center" wrapText="1"/>
    </xf>
    <xf numFmtId="0" fontId="6" fillId="0" borderId="1" xfId="8" applyFont="1" applyFill="1" applyBorder="1" applyAlignment="1">
      <alignment horizontal="center" vertical="center" wrapText="1"/>
    </xf>
    <xf numFmtId="166" fontId="2" fillId="0" borderId="1" xfId="8" applyNumberFormat="1" applyFont="1" applyFill="1" applyBorder="1" applyAlignment="1">
      <alignment horizontal="right" vertical="center" wrapText="1"/>
    </xf>
    <xf numFmtId="168" fontId="2" fillId="0" borderId="1" xfId="8" applyNumberFormat="1" applyFont="1" applyFill="1" applyBorder="1" applyAlignment="1">
      <alignment vertical="center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/>
    </xf>
    <xf numFmtId="166" fontId="2" fillId="0" borderId="1" xfId="8" applyNumberFormat="1" applyFont="1" applyFill="1" applyBorder="1" applyAlignment="1">
      <alignment horizontal="right" vertical="center"/>
    </xf>
    <xf numFmtId="0" fontId="2" fillId="0" borderId="9" xfId="8" applyFont="1" applyFill="1" applyBorder="1">
      <alignment horizontal="left" vertical="center" wrapText="1"/>
    </xf>
    <xf numFmtId="0" fontId="2" fillId="0" borderId="1" xfId="8" applyFont="1" applyFill="1" applyBorder="1">
      <alignment horizontal="left" vertical="center" wrapText="1"/>
    </xf>
    <xf numFmtId="0" fontId="2" fillId="0" borderId="1" xfId="8" applyNumberFormat="1" applyFont="1" applyFill="1" applyBorder="1" applyAlignment="1">
      <alignment horizontal="center" wrapText="1"/>
    </xf>
    <xf numFmtId="0" fontId="2" fillId="0" borderId="0" xfId="8" applyNumberFormat="1" applyFont="1" applyFill="1" applyBorder="1" applyAlignment="1">
      <alignment horizontal="center" wrapText="1"/>
    </xf>
    <xf numFmtId="166" fontId="2" fillId="0" borderId="1" xfId="8" applyNumberFormat="1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center" wrapText="1"/>
    </xf>
    <xf numFmtId="0" fontId="2" fillId="0" borderId="1" xfId="8" applyFont="1" applyFill="1" applyBorder="1" applyAlignment="1">
      <alignment horizontal="left"/>
    </xf>
    <xf numFmtId="0" fontId="4" fillId="0" borderId="1" xfId="8" applyFont="1" applyFill="1" applyBorder="1" applyAlignment="1">
      <alignment horizontal="center" wrapText="1"/>
    </xf>
    <xf numFmtId="3" fontId="2" fillId="0" borderId="1" xfId="8" applyNumberFormat="1" applyFont="1" applyFill="1" applyBorder="1" applyAlignment="1">
      <alignment horizontal="center"/>
    </xf>
    <xf numFmtId="166" fontId="2" fillId="0" borderId="1" xfId="8" applyNumberFormat="1" applyFont="1" applyFill="1" applyBorder="1" applyAlignment="1">
      <alignment horizontal="right"/>
    </xf>
    <xf numFmtId="4" fontId="2" fillId="0" borderId="1" xfId="8" applyNumberFormat="1" applyFont="1" applyFill="1" applyBorder="1" applyAlignment="1">
      <alignment horizontal="right"/>
    </xf>
    <xf numFmtId="1" fontId="2" fillId="0" borderId="1" xfId="8" applyNumberFormat="1" applyFont="1" applyFill="1" applyBorder="1" applyAlignment="1">
      <alignment horizontal="center" wrapText="1"/>
    </xf>
    <xf numFmtId="0" fontId="2" fillId="0" borderId="8" xfId="8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8" xfId="8" applyFont="1" applyFill="1" applyBorder="1">
      <alignment horizontal="left" vertical="center" wrapText="1"/>
    </xf>
    <xf numFmtId="0" fontId="2" fillId="0" borderId="8" xfId="8" applyFont="1" applyFill="1" applyBorder="1" applyAlignment="1">
      <alignment horizontal="center" wrapText="1"/>
    </xf>
    <xf numFmtId="166" fontId="2" fillId="0" borderId="8" xfId="8" applyNumberFormat="1" applyFont="1" applyFill="1" applyBorder="1" applyAlignment="1">
      <alignment horizontal="right" vertical="center" wrapText="1"/>
    </xf>
    <xf numFmtId="0" fontId="2" fillId="0" borderId="7" xfId="8" applyFont="1" applyFill="1" applyBorder="1">
      <alignment horizontal="left" vertical="center" wrapText="1"/>
    </xf>
    <xf numFmtId="0" fontId="2" fillId="0" borderId="7" xfId="8" applyFont="1" applyFill="1" applyBorder="1" applyAlignment="1">
      <alignment horizontal="center" wrapText="1"/>
    </xf>
    <xf numFmtId="0" fontId="2" fillId="0" borderId="7" xfId="8" applyFont="1" applyFill="1" applyBorder="1" applyAlignment="1">
      <alignment horizontal="center" vertical="center" wrapText="1"/>
    </xf>
    <xf numFmtId="166" fontId="2" fillId="0" borderId="7" xfId="8" applyNumberFormat="1" applyFont="1" applyFill="1" applyBorder="1" applyAlignment="1">
      <alignment horizontal="right" vertical="center" wrapText="1"/>
    </xf>
    <xf numFmtId="0" fontId="2" fillId="0" borderId="21" xfId="8" applyFont="1" applyFill="1" applyBorder="1" applyAlignment="1">
      <alignment horizontal="center" vertical="center" wrapText="1"/>
    </xf>
    <xf numFmtId="0" fontId="2" fillId="0" borderId="21" xfId="8" applyFont="1" applyFill="1" applyBorder="1">
      <alignment horizontal="left" vertical="center" wrapText="1"/>
    </xf>
    <xf numFmtId="0" fontId="2" fillId="0" borderId="21" xfId="8" applyFont="1" applyFill="1" applyBorder="1" applyAlignment="1">
      <alignment horizontal="center" wrapText="1"/>
    </xf>
    <xf numFmtId="166" fontId="2" fillId="0" borderId="21" xfId="8" applyNumberFormat="1" applyFont="1" applyFill="1" applyBorder="1" applyAlignment="1">
      <alignment horizontal="right" vertical="center" wrapText="1"/>
    </xf>
    <xf numFmtId="0" fontId="2" fillId="0" borderId="1" xfId="12" applyFont="1" applyFill="1" applyBorder="1">
      <alignment horizontal="left" vertical="center" wrapText="1"/>
    </xf>
    <xf numFmtId="0" fontId="2" fillId="0" borderId="8" xfId="12" applyFont="1" applyFill="1" applyBorder="1" applyAlignment="1">
      <alignment horizontal="center"/>
    </xf>
    <xf numFmtId="1" fontId="2" fillId="0" borderId="1" xfId="9" applyNumberFormat="1" applyFont="1" applyFill="1" applyBorder="1" applyAlignment="1">
      <alignment horizontal="center" vertical="center" wrapText="1"/>
    </xf>
    <xf numFmtId="0" fontId="2" fillId="0" borderId="4" xfId="12" applyFont="1" applyFill="1" applyBorder="1">
      <alignment horizontal="left" vertical="center" wrapText="1"/>
    </xf>
    <xf numFmtId="0" fontId="2" fillId="0" borderId="8" xfId="12" applyNumberFormat="1" applyFont="1" applyFill="1" applyBorder="1" applyAlignment="1">
      <alignment horizontal="center"/>
    </xf>
    <xf numFmtId="0" fontId="2" fillId="0" borderId="1" xfId="12" applyFont="1" applyFill="1" applyBorder="1" applyAlignment="1">
      <alignment horizontal="center"/>
    </xf>
    <xf numFmtId="0" fontId="2" fillId="0" borderId="1" xfId="12" applyNumberFormat="1" applyFont="1" applyFill="1" applyBorder="1" applyAlignment="1">
      <alignment horizontal="center"/>
    </xf>
    <xf numFmtId="173" fontId="16" fillId="0" borderId="30" xfId="0" applyNumberFormat="1" applyFont="1" applyFill="1" applyBorder="1" applyAlignment="1">
      <alignment horizontal="right" vertical="center" wrapText="1"/>
    </xf>
    <xf numFmtId="173" fontId="16" fillId="0" borderId="1" xfId="0" applyNumberFormat="1" applyFont="1" applyFill="1" applyBorder="1" applyAlignment="1">
      <alignment horizontal="right" vertical="center" wrapText="1"/>
    </xf>
    <xf numFmtId="0" fontId="2" fillId="0" borderId="11" xfId="12" applyFont="1" applyFill="1" applyBorder="1">
      <alignment horizontal="left" vertical="center" wrapText="1"/>
    </xf>
    <xf numFmtId="4" fontId="2" fillId="0" borderId="1" xfId="8" applyNumberFormat="1" applyFont="1" applyFill="1" applyBorder="1" applyAlignment="1">
      <alignment horizontal="right" vertical="center" wrapText="1"/>
    </xf>
    <xf numFmtId="0" fontId="2" fillId="0" borderId="24" xfId="8" applyFont="1" applyFill="1" applyBorder="1" applyAlignment="1">
      <alignment horizontal="center" vertical="center" wrapText="1"/>
    </xf>
    <xf numFmtId="0" fontId="1" fillId="0" borderId="1" xfId="8" applyFill="1" applyBorder="1" applyAlignment="1">
      <alignment horizontal="center" wrapText="1"/>
    </xf>
    <xf numFmtId="0" fontId="2" fillId="0" borderId="11" xfId="8" applyFont="1" applyFill="1" applyBorder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6" fillId="0" borderId="16" xfId="8" applyFont="1" applyFill="1" applyBorder="1" applyAlignment="1">
      <alignment horizontal="center" vertical="center" wrapText="1"/>
    </xf>
    <xf numFmtId="0" fontId="6" fillId="0" borderId="28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wrapText="1"/>
    </xf>
    <xf numFmtId="0" fontId="2" fillId="0" borderId="1" xfId="8" applyFont="1" applyFill="1" applyBorder="1" applyAlignment="1">
      <alignment vertical="top" wrapText="1"/>
    </xf>
    <xf numFmtId="4" fontId="2" fillId="0" borderId="11" xfId="8" applyNumberFormat="1" applyFont="1" applyFill="1" applyBorder="1" applyAlignment="1">
      <alignment horizontal="right" vertical="center" wrapText="1"/>
    </xf>
    <xf numFmtId="0" fontId="1" fillId="0" borderId="1" xfId="8" applyFill="1" applyBorder="1">
      <alignment horizontal="left" vertical="center" wrapText="1"/>
    </xf>
    <xf numFmtId="0" fontId="2" fillId="0" borderId="1" xfId="18" applyFont="1" applyFill="1" applyBorder="1" applyAlignment="1">
      <alignment horizontal="center" wrapText="1"/>
    </xf>
    <xf numFmtId="0" fontId="2" fillId="0" borderId="1" xfId="18" applyFont="1" applyFill="1" applyBorder="1" applyAlignment="1">
      <alignment horizontal="center" vertical="center" wrapText="1"/>
    </xf>
    <xf numFmtId="4" fontId="2" fillId="0" borderId="1" xfId="18" applyNumberFormat="1" applyFont="1" applyFill="1" applyBorder="1" applyAlignment="1">
      <alignment horizontal="right" vertical="center" wrapText="1"/>
    </xf>
    <xf numFmtId="2" fontId="2" fillId="0" borderId="1" xfId="8" applyNumberFormat="1" applyFont="1" applyFill="1" applyBorder="1" applyAlignment="1">
      <alignment horizontal="right" vertical="center" wrapText="1"/>
    </xf>
    <xf numFmtId="165" fontId="2" fillId="0" borderId="1" xfId="8" applyNumberFormat="1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right" vertical="center"/>
    </xf>
    <xf numFmtId="0" fontId="2" fillId="0" borderId="1" xfId="8" applyFont="1" applyFill="1" applyBorder="1" applyAlignment="1">
      <alignment horizontal="right" vertical="center"/>
    </xf>
    <xf numFmtId="0" fontId="2" fillId="0" borderId="2" xfId="8" applyFont="1" applyFill="1" applyBorder="1">
      <alignment horizontal="left" vertical="center" wrapText="1"/>
    </xf>
    <xf numFmtId="0" fontId="2" fillId="0" borderId="5" xfId="8" applyFont="1" applyFill="1" applyBorder="1" applyAlignment="1">
      <alignment horizontal="center" wrapText="1"/>
    </xf>
    <xf numFmtId="0" fontId="2" fillId="0" borderId="1" xfId="8" applyNumberFormat="1" applyFont="1" applyFill="1" applyBorder="1" applyAlignment="1">
      <alignment horizontal="center" vertical="center" wrapText="1"/>
    </xf>
    <xf numFmtId="166" fontId="2" fillId="0" borderId="12" xfId="8" applyNumberFormat="1" applyFont="1" applyFill="1" applyBorder="1" applyAlignment="1">
      <alignment wrapText="1"/>
    </xf>
    <xf numFmtId="0" fontId="2" fillId="0" borderId="4" xfId="8" applyFont="1" applyFill="1" applyBorder="1">
      <alignment horizontal="left" vertical="center" wrapText="1"/>
    </xf>
    <xf numFmtId="166" fontId="2" fillId="0" borderId="13" xfId="8" applyNumberFormat="1" applyFont="1" applyFill="1" applyBorder="1" applyAlignment="1">
      <alignment horizontal="right" vertical="center" wrapText="1"/>
    </xf>
    <xf numFmtId="166" fontId="2" fillId="0" borderId="5" xfId="8" applyNumberFormat="1" applyFont="1" applyFill="1" applyBorder="1" applyAlignment="1">
      <alignment horizontal="right" vertical="center" wrapText="1"/>
    </xf>
    <xf numFmtId="166" fontId="2" fillId="0" borderId="1" xfId="8" applyNumberFormat="1" applyFont="1" applyFill="1" applyBorder="1" applyAlignment="1">
      <alignment wrapText="1"/>
    </xf>
    <xf numFmtId="166" fontId="2" fillId="0" borderId="0" xfId="8" applyNumberFormat="1" applyFont="1" applyFill="1" applyBorder="1" applyAlignment="1">
      <alignment wrapText="1"/>
    </xf>
    <xf numFmtId="0" fontId="2" fillId="0" borderId="0" xfId="8" applyFont="1" applyFill="1" applyBorder="1">
      <alignment horizontal="left" vertical="center" wrapText="1"/>
    </xf>
    <xf numFmtId="0" fontId="2" fillId="0" borderId="0" xfId="8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172" fontId="2" fillId="0" borderId="1" xfId="8" applyNumberFormat="1" applyFont="1" applyFill="1" applyBorder="1" applyAlignment="1">
      <alignment horizontal="right" vertical="center" wrapText="1"/>
    </xf>
    <xf numFmtId="0" fontId="2" fillId="0" borderId="1" xfId="8" applyFont="1" applyFill="1" applyBorder="1" applyAlignment="1">
      <alignment horizontal="right" vertical="center" wrapText="1"/>
    </xf>
    <xf numFmtId="164" fontId="2" fillId="0" borderId="1" xfId="8" applyNumberFormat="1" applyFont="1" applyFill="1" applyBorder="1" applyAlignment="1">
      <alignment horizontal="center" vertical="center" wrapText="1"/>
    </xf>
    <xf numFmtId="172" fontId="2" fillId="0" borderId="1" xfId="8" applyNumberFormat="1" applyFont="1" applyFill="1" applyBorder="1" applyAlignment="1">
      <alignment horizontal="right" vertical="center"/>
    </xf>
    <xf numFmtId="0" fontId="2" fillId="0" borderId="1" xfId="8" applyFont="1" applyFill="1" applyBorder="1" applyAlignment="1">
      <alignment vertical="center" wrapText="1"/>
    </xf>
    <xf numFmtId="0" fontId="2" fillId="0" borderId="1" xfId="8" applyFont="1" applyFill="1" applyBorder="1" applyAlignment="1"/>
    <xf numFmtId="0" fontId="2" fillId="0" borderId="1" xfId="8" applyFont="1" applyFill="1" applyBorder="1" applyAlignment="1">
      <alignment horizontal="left" vertical="center"/>
    </xf>
    <xf numFmtId="4" fontId="2" fillId="0" borderId="1" xfId="8" applyNumberFormat="1" applyFont="1" applyFill="1" applyBorder="1" applyAlignment="1">
      <alignment vertical="center"/>
    </xf>
    <xf numFmtId="0" fontId="1" fillId="0" borderId="1" xfId="8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/>
    </xf>
    <xf numFmtId="49" fontId="2" fillId="0" borderId="1" xfId="8" applyNumberFormat="1" applyFont="1" applyFill="1" applyBorder="1" applyAlignment="1">
      <alignment horizontal="center" wrapText="1"/>
    </xf>
    <xf numFmtId="0" fontId="1" fillId="0" borderId="0" xfId="8" applyFill="1" applyBorder="1" applyAlignment="1">
      <alignment horizontal="left" vertical="top" wrapText="1"/>
    </xf>
    <xf numFmtId="0" fontId="1" fillId="0" borderId="0" xfId="8" applyFill="1" applyBorder="1">
      <alignment horizontal="left" vertical="center" wrapText="1"/>
    </xf>
    <xf numFmtId="0" fontId="3" fillId="0" borderId="0" xfId="8" applyFont="1" applyFill="1" applyAlignment="1">
      <alignment horizontal="center" vertical="center" wrapText="1"/>
    </xf>
    <xf numFmtId="0" fontId="2" fillId="0" borderId="1" xfId="8" applyFont="1" applyFill="1" applyBorder="1" applyAlignment="1">
      <alignment vertical="center"/>
    </xf>
    <xf numFmtId="0" fontId="2" fillId="0" borderId="1" xfId="8" applyFont="1" applyFill="1" applyBorder="1" applyAlignment="1">
      <alignment wrapText="1"/>
    </xf>
    <xf numFmtId="0" fontId="2" fillId="0" borderId="1" xfId="12" applyFont="1" applyFill="1" applyBorder="1" applyAlignment="1">
      <alignment horizontal="left" wrapText="1"/>
    </xf>
    <xf numFmtId="49" fontId="2" fillId="0" borderId="1" xfId="8" applyNumberFormat="1" applyFont="1" applyFill="1" applyBorder="1" applyAlignment="1">
      <alignment horizontal="left" vertical="top" wrapText="1"/>
    </xf>
    <xf numFmtId="0" fontId="2" fillId="0" borderId="1" xfId="8" applyFont="1" applyFill="1" applyBorder="1" applyAlignment="1">
      <alignment horizontal="left" vertical="top" wrapText="1"/>
    </xf>
    <xf numFmtId="4" fontId="2" fillId="0" borderId="1" xfId="8" applyNumberFormat="1" applyFont="1" applyFill="1" applyBorder="1" applyAlignment="1"/>
    <xf numFmtId="0" fontId="2" fillId="0" borderId="5" xfId="12" applyFont="1" applyFill="1" applyBorder="1">
      <alignment horizontal="left" vertical="center" wrapText="1"/>
    </xf>
    <xf numFmtId="0" fontId="2" fillId="0" borderId="6" xfId="12" applyFont="1" applyFill="1" applyBorder="1">
      <alignment horizontal="left" vertical="center" wrapText="1"/>
    </xf>
    <xf numFmtId="0" fontId="2" fillId="0" borderId="8" xfId="8" applyFont="1" applyFill="1" applyBorder="1" applyAlignment="1">
      <alignment vertical="top" wrapText="1"/>
    </xf>
    <xf numFmtId="0" fontId="0" fillId="0" borderId="0" xfId="0" applyFill="1" applyAlignment="1">
      <alignment horizontal="left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Fill="1">
      <alignment horizontal="left" vertical="center" wrapText="1"/>
    </xf>
    <xf numFmtId="0" fontId="19" fillId="0" borderId="0" xfId="8" applyFont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0" xfId="8" applyFont="1" applyBorder="1">
      <alignment horizontal="left" vertical="center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8" applyNumberFormat="1" applyFont="1" applyBorder="1">
      <alignment horizontal="left" vertical="center" wrapText="1"/>
    </xf>
    <xf numFmtId="0" fontId="13" fillId="0" borderId="0" xfId="0" applyFont="1" applyAlignment="1">
      <alignment wrapText="1"/>
    </xf>
    <xf numFmtId="0" fontId="6" fillId="0" borderId="1" xfId="8" applyFont="1" applyFill="1" applyBorder="1">
      <alignment horizontal="left" vertical="center" wrapText="1"/>
    </xf>
    <xf numFmtId="0" fontId="2" fillId="0" borderId="0" xfId="8" applyFont="1">
      <alignment horizontal="left" vertical="center" wrapText="1"/>
    </xf>
    <xf numFmtId="0" fontId="6" fillId="0" borderId="1" xfId="8" applyFont="1" applyBorder="1" applyAlignment="1">
      <alignment horizontal="center" vertical="center" wrapText="1"/>
    </xf>
    <xf numFmtId="0" fontId="6" fillId="0" borderId="1" xfId="8" applyFont="1" applyBorder="1">
      <alignment horizontal="left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horizontal="center" vertical="center" wrapText="1"/>
    </xf>
    <xf numFmtId="0" fontId="6" fillId="0" borderId="9" xfId="8" applyFont="1" applyFill="1" applyBorder="1">
      <alignment horizontal="left" vertical="center" wrapText="1"/>
    </xf>
    <xf numFmtId="0" fontId="6" fillId="0" borderId="11" xfId="8" applyFont="1" applyFill="1" applyBorder="1">
      <alignment horizontal="left" vertical="center" wrapText="1"/>
    </xf>
    <xf numFmtId="0" fontId="6" fillId="0" borderId="29" xfId="8" applyFont="1" applyFill="1" applyBorder="1" applyAlignment="1">
      <alignment horizontal="center" vertical="center" wrapText="1"/>
    </xf>
    <xf numFmtId="0" fontId="6" fillId="0" borderId="9" xfId="8" applyFont="1" applyBorder="1" applyAlignment="1">
      <alignment horizontal="center" vertical="center" wrapText="1"/>
    </xf>
    <xf numFmtId="0" fontId="6" fillId="0" borderId="16" xfId="8" applyFont="1" applyBorder="1" applyAlignment="1">
      <alignment horizontal="center" vertical="center" wrapText="1"/>
    </xf>
    <xf numFmtId="0" fontId="6" fillId="0" borderId="11" xfId="8" applyFont="1" applyBorder="1" applyAlignment="1">
      <alignment horizontal="center" vertical="center" wrapText="1"/>
    </xf>
    <xf numFmtId="0" fontId="6" fillId="0" borderId="9" xfId="8" applyFont="1" applyBorder="1">
      <alignment horizontal="left" vertical="center" wrapText="1"/>
    </xf>
    <xf numFmtId="0" fontId="6" fillId="0" borderId="16" xfId="8" applyFont="1" applyBorder="1">
      <alignment horizontal="left" vertical="center" wrapText="1"/>
    </xf>
    <xf numFmtId="0" fontId="6" fillId="0" borderId="11" xfId="8" applyFont="1" applyBorder="1">
      <alignment horizontal="left" vertical="center" wrapText="1"/>
    </xf>
    <xf numFmtId="0" fontId="3" fillId="0" borderId="9" xfId="8" applyFont="1" applyBorder="1" applyAlignment="1">
      <alignment horizontal="center" vertical="center" wrapText="1"/>
    </xf>
    <xf numFmtId="0" fontId="3" fillId="0" borderId="16" xfId="8" applyFont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1" xfId="8" applyFont="1" applyBorder="1">
      <alignment horizontal="left" vertical="center" wrapText="1"/>
    </xf>
    <xf numFmtId="0" fontId="6" fillId="0" borderId="17" xfId="8" applyFont="1" applyBorder="1" applyAlignment="1">
      <alignment horizontal="center" vertical="center" wrapText="1"/>
    </xf>
    <xf numFmtId="0" fontId="6" fillId="0" borderId="18" xfId="8" applyFont="1" applyBorder="1" applyAlignment="1">
      <alignment horizontal="center" vertical="center" wrapText="1"/>
    </xf>
    <xf numFmtId="0" fontId="6" fillId="0" borderId="19" xfId="8" applyFont="1" applyBorder="1" applyAlignment="1">
      <alignment horizontal="center" vertical="center" wrapText="1"/>
    </xf>
    <xf numFmtId="0" fontId="3" fillId="0" borderId="9" xfId="8" applyFont="1" applyBorder="1">
      <alignment horizontal="left" vertical="center" wrapText="1"/>
    </xf>
    <xf numFmtId="0" fontId="3" fillId="0" borderId="11" xfId="8" applyFont="1" applyBorder="1">
      <alignment horizontal="left" vertical="center" wrapText="1"/>
    </xf>
    <xf numFmtId="0" fontId="19" fillId="0" borderId="0" xfId="8" applyFont="1" applyBorder="1" applyAlignment="1">
      <alignment horizontal="right" vertical="top" wrapText="1"/>
    </xf>
    <xf numFmtId="0" fontId="15" fillId="0" borderId="0" xfId="8" applyFont="1" applyBorder="1" applyAlignment="1">
      <alignment horizontal="center" vertical="center" wrapText="1"/>
    </xf>
    <xf numFmtId="0" fontId="2" fillId="0" borderId="24" xfId="8" applyFont="1" applyBorder="1" applyAlignment="1">
      <alignment horizontal="center" vertical="center" textRotation="90" wrapText="1"/>
    </xf>
    <xf numFmtId="0" fontId="2" fillId="0" borderId="7" xfId="8" applyFont="1" applyBorder="1" applyAlignment="1">
      <alignment horizontal="center" vertical="center" textRotation="90" wrapText="1"/>
    </xf>
    <xf numFmtId="0" fontId="2" fillId="0" borderId="23" xfId="8" applyFont="1" applyBorder="1" applyAlignment="1">
      <alignment horizontal="center" vertical="center" wrapText="1"/>
    </xf>
    <xf numFmtId="0" fontId="2" fillId="0" borderId="28" xfId="8" applyFont="1" applyBorder="1" applyAlignment="1">
      <alignment horizontal="center" vertical="center" wrapText="1"/>
    </xf>
    <xf numFmtId="0" fontId="2" fillId="0" borderId="27" xfId="8" applyFont="1" applyBorder="1" applyAlignment="1">
      <alignment horizontal="center" vertical="center" wrapText="1"/>
    </xf>
    <xf numFmtId="4" fontId="2" fillId="0" borderId="24" xfId="8" applyNumberFormat="1" applyFont="1" applyBorder="1" applyAlignment="1">
      <alignment horizontal="center" vertical="center" textRotation="90" wrapText="1"/>
    </xf>
    <xf numFmtId="4" fontId="2" fillId="0" borderId="21" xfId="8" applyNumberFormat="1" applyFont="1" applyBorder="1" applyAlignment="1">
      <alignment horizontal="center" vertical="center" textRotation="90" wrapText="1"/>
    </xf>
    <xf numFmtId="4" fontId="2" fillId="0" borderId="7" xfId="8" applyNumberFormat="1" applyFont="1" applyBorder="1" applyAlignment="1">
      <alignment horizontal="center" vertical="center" textRotation="90" wrapText="1"/>
    </xf>
    <xf numFmtId="0" fontId="2" fillId="0" borderId="21" xfId="8" applyFont="1" applyBorder="1" applyAlignment="1">
      <alignment horizontal="center" vertical="center" textRotation="90" wrapText="1"/>
    </xf>
    <xf numFmtId="43" fontId="2" fillId="0" borderId="24" xfId="27" applyFont="1" applyFill="1" applyBorder="1" applyAlignment="1">
      <alignment horizontal="center" vertical="center" textRotation="90" wrapText="1"/>
    </xf>
    <xf numFmtId="43" fontId="2" fillId="0" borderId="7" xfId="27" applyFont="1" applyFill="1" applyBorder="1" applyAlignment="1">
      <alignment horizontal="center" vertical="center" textRotation="90" wrapText="1"/>
    </xf>
    <xf numFmtId="0" fontId="8" fillId="0" borderId="0" xfId="8" applyFont="1" applyAlignment="1">
      <alignment horizontal="center" vertical="center" wrapText="1"/>
    </xf>
    <xf numFmtId="0" fontId="2" fillId="0" borderId="24" xfId="8" applyFont="1" applyBorder="1" applyAlignment="1">
      <alignment horizontal="center" vertical="center" wrapText="1"/>
    </xf>
    <xf numFmtId="0" fontId="2" fillId="0" borderId="21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24" xfId="8" applyFont="1" applyFill="1" applyBorder="1" applyAlignment="1">
      <alignment horizontal="center" vertical="center" wrapText="1"/>
    </xf>
    <xf numFmtId="0" fontId="2" fillId="0" borderId="21" xfId="8" applyFont="1" applyFill="1" applyBorder="1" applyAlignment="1">
      <alignment horizontal="center" vertical="center" wrapText="1"/>
    </xf>
    <xf numFmtId="0" fontId="2" fillId="0" borderId="7" xfId="8" applyFont="1" applyFill="1" applyBorder="1" applyAlignment="1">
      <alignment horizontal="center" vertical="center" wrapText="1"/>
    </xf>
    <xf numFmtId="0" fontId="2" fillId="0" borderId="24" xfId="8" applyFont="1" applyBorder="1" applyAlignment="1">
      <alignment horizontal="center" textRotation="90" wrapText="1"/>
    </xf>
    <xf numFmtId="0" fontId="2" fillId="0" borderId="21" xfId="8" applyFont="1" applyBorder="1" applyAlignment="1">
      <alignment horizontal="center" textRotation="90" wrapText="1"/>
    </xf>
    <xf numFmtId="0" fontId="2" fillId="0" borderId="7" xfId="8" applyFont="1" applyBorder="1" applyAlignment="1">
      <alignment horizontal="center" textRotation="90" wrapText="1"/>
    </xf>
    <xf numFmtId="0" fontId="3" fillId="0" borderId="23" xfId="8" applyFont="1" applyBorder="1">
      <alignment horizontal="left" vertical="center" wrapText="1"/>
    </xf>
    <xf numFmtId="0" fontId="3" fillId="0" borderId="27" xfId="8" applyFont="1" applyBorder="1">
      <alignment horizontal="left" vertical="center" wrapText="1"/>
    </xf>
  </cellXfs>
  <cellStyles count="31">
    <cellStyle name="60% — акцент1 2" xfId="1"/>
    <cellStyle name="60% — акцент2 2" xfId="2"/>
    <cellStyle name="60% — акцент3 2" xfId="3"/>
    <cellStyle name="60% — акцент4 2" xfId="4"/>
    <cellStyle name="60% — акцент5 2" xfId="5"/>
    <cellStyle name="60% — акцент6 2" xfId="6"/>
    <cellStyle name="Excel Built-in Normal" xfId="7"/>
    <cellStyle name="Обычный" xfId="0" builtinId="0"/>
    <cellStyle name="Обычный 2" xfId="8"/>
    <cellStyle name="Обычный 2 2" xfId="9"/>
    <cellStyle name="Обычный 2 2 2" xfId="10"/>
    <cellStyle name="Обычный 2 3" xfId="11"/>
    <cellStyle name="Обычный 3" xfId="12"/>
    <cellStyle name="Обычный 3 2" xfId="13"/>
    <cellStyle name="Обычный 4" xfId="14"/>
    <cellStyle name="Обычный 5" xfId="15"/>
    <cellStyle name="Обычный 6" xfId="16"/>
    <cellStyle name="Обычный 7" xfId="17"/>
    <cellStyle name="Обычный_Краткосрочный план 2016" xfId="18"/>
    <cellStyle name="Примечание 2" xfId="19"/>
    <cellStyle name="Примечание 2 2" xfId="20"/>
    <cellStyle name="Примечание 2 2 2" xfId="21"/>
    <cellStyle name="Примечание 2 3" xfId="22"/>
    <cellStyle name="Примечание 3" xfId="23"/>
    <cellStyle name="Примечание 3 2" xfId="24"/>
    <cellStyle name="Примечание 4" xfId="25"/>
    <cellStyle name="Примечание 5" xfId="26"/>
    <cellStyle name="Финансовый" xfId="30" builtinId="3"/>
    <cellStyle name="Финансовый 2" xfId="27"/>
    <cellStyle name="Финансовый 3" xfId="28"/>
    <cellStyle name="Финансовый 4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dc-01\Temporary%20Internet%20Files\Content.Outlook\IHEZPQLT\&#1042;&#1089;&#1077;%20&#1076;&#1086;&#1082;&#1091;&#1084;&#1077;&#1085;&#1090;&#1099;%20&#1089;&#1086;%20&#1089;&#1090;&#1072;&#1088;&#1086;&#1075;&#1086;%20&#1082;&#1086;&#1084;&#1087;&#1072;\&#1057;%20&#1088;&#1072;&#1073;&#1086;&#1095;&#1077;&#1075;&#1086;%20&#1089;&#1090;&#1086;&#1083;&#1072;\&#1050;&#1040;&#1055;&#1056;&#1045;&#1052;&#1054;&#1053;&#1058;\R01%20-%20&#1056;&#1077;&#1077;&#1089;&#1090;&#1088;%20&#1052;&#1050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2;&#1086;&#1085;&#1076;\&#1050;&#1088;&#1072;&#1090;&#1082;&#1086;&#1089;&#1088;&#1086;&#1095;&#1082;&#1072;%20&#1080;&#1079;&#1084;&#1077;&#1085;&#1077;&#1085;&#1080;&#1103;\&#1055;&#1086;&#1083;&#1103;&#1088;&#1085;&#1099;&#1077;%20&#1047;&#1086;&#1088;&#1080;%20&#1055;&#1088;&#1080;&#1083;%20&#1082;%20&#1087;&#1086;&#1103;&#1089;&#1085;&#1080;&#1090;&#1077;&#1083;&#1100;&#1085;&#1086;&#1081;%20&#1079;&#1072;&#1087;&#1080;&#1089;&#1082;&#1077;%20(1)%20326%20&#1087;&#1087;%20&#1086;&#1090;%2017.07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0;&#1072;&#1089;&#1072;&#1076;&#1099;%20&#1080;%20&#1082;&#1088;&#1099;&#1096;&#1080;.%20&#1062;&#1077;&#1085;&#1090;&#1088;.%202020-2021.%20&#1054;&#1073;&#1083;&#1072;&#1089;&#1090;&#1085;&#1086;&#1077;%20&#1092;&#1080;&#1085;&#1072;&#1085;&#1089;&#1080;&#1088;&#1086;&#1074;&#1072;&#1085;&#1080;&#1077;.%20&#1056;&#1077;&#1076;.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"/>
      <sheetName val="Форма 2"/>
      <sheetName val="Форма 3"/>
      <sheetName val="краткосрочный план"/>
    </sheetNames>
    <sheetDataSet>
      <sheetData sheetId="0" refreshError="1">
        <row r="9">
          <cell r="S9">
            <v>12013551.449999999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0 год"/>
      <sheetName val="2021 год"/>
      <sheetName val="воровского ленина"/>
    </sheetNames>
    <sheetDataSet>
      <sheetData sheetId="0" refreshError="1">
        <row r="11">
          <cell r="O11">
            <v>4041420</v>
          </cell>
        </row>
        <row r="32">
          <cell r="Q32">
            <v>386651.87</v>
          </cell>
          <cell r="R32">
            <v>533194.19999999995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97"/>
  <sheetViews>
    <sheetView tabSelected="1" zoomScale="60" zoomScaleNormal="60" zoomScaleSheetLayoutView="69" zoomScalePageLayoutView="60" workbookViewId="0">
      <pane ySplit="15" topLeftCell="A16" activePane="bottomLeft" state="frozen"/>
      <selection pane="bottomLeft" activeCell="H15" sqref="H15"/>
    </sheetView>
  </sheetViews>
  <sheetFormatPr defaultRowHeight="12.75"/>
  <cols>
    <col min="1" max="1" width="10.28515625" style="63" customWidth="1"/>
    <col min="2" max="2" width="66.85546875" style="175" customWidth="1"/>
    <col min="3" max="3" width="13.7109375" style="63" customWidth="1"/>
    <col min="4" max="4" width="7.140625" style="63" customWidth="1"/>
    <col min="5" max="5" width="12" style="63" customWidth="1"/>
    <col min="6" max="6" width="21" style="63" customWidth="1"/>
    <col min="7" max="7" width="18.85546875" style="63" customWidth="1"/>
    <col min="8" max="8" width="28.85546875" style="63" customWidth="1"/>
    <col min="9" max="9" width="23.42578125" style="63" customWidth="1"/>
    <col min="10" max="10" width="21.140625" style="63" customWidth="1"/>
    <col min="11" max="11" width="31.42578125" style="63" customWidth="1"/>
    <col min="12" max="12" width="20.140625" style="63" customWidth="1"/>
    <col min="13" max="13" width="23.28515625" style="63" customWidth="1"/>
    <col min="14" max="14" width="19.28515625" style="63" customWidth="1"/>
    <col min="15" max="15" width="21.42578125" style="63" customWidth="1"/>
    <col min="16" max="16" width="19.42578125" style="63" customWidth="1"/>
    <col min="17" max="17" width="21.7109375" style="63" customWidth="1"/>
    <col min="18" max="19" width="20.85546875" style="63" customWidth="1"/>
    <col min="20" max="20" width="10.42578125" style="63" customWidth="1"/>
    <col min="21" max="21" width="13.5703125" style="63" customWidth="1"/>
    <col min="22" max="22" width="20.5703125" style="17" customWidth="1"/>
    <col min="23" max="23" width="11.140625" style="63" bestFit="1" customWidth="1"/>
    <col min="24" max="16384" width="9.140625" style="63"/>
  </cols>
  <sheetData>
    <row r="1" spans="1:21" ht="50.25" customHeight="1">
      <c r="A1" s="58"/>
      <c r="B1" s="261"/>
      <c r="C1" s="59"/>
      <c r="D1" s="60"/>
      <c r="E1" s="60"/>
      <c r="F1" s="61"/>
      <c r="G1" s="61"/>
      <c r="H1" s="18"/>
      <c r="I1" s="62"/>
      <c r="J1" s="62"/>
      <c r="K1" s="62"/>
      <c r="L1" s="62"/>
      <c r="M1" s="62"/>
      <c r="N1" s="274"/>
      <c r="O1" s="275"/>
      <c r="P1" s="280" t="s">
        <v>811</v>
      </c>
      <c r="Q1" s="281"/>
      <c r="R1" s="277"/>
      <c r="S1" s="277"/>
      <c r="T1" s="277"/>
    </row>
    <row r="2" spans="1:21" ht="50.25" customHeight="1">
      <c r="A2" s="58"/>
      <c r="B2" s="262"/>
      <c r="C2" s="59"/>
      <c r="D2" s="58"/>
      <c r="E2" s="58"/>
      <c r="F2" s="65"/>
      <c r="G2" s="65"/>
      <c r="H2" s="19"/>
      <c r="I2" s="66"/>
      <c r="J2" s="66"/>
      <c r="K2" s="66"/>
      <c r="L2" s="66"/>
      <c r="M2" s="66"/>
      <c r="N2" s="276"/>
      <c r="O2" s="275"/>
      <c r="P2" s="278" t="s">
        <v>812</v>
      </c>
      <c r="Q2" s="278"/>
      <c r="R2" s="277"/>
      <c r="S2" s="277"/>
      <c r="T2" s="277"/>
    </row>
    <row r="3" spans="1:21" ht="51.75" customHeight="1">
      <c r="A3" s="58"/>
      <c r="B3" s="262"/>
      <c r="C3" s="59"/>
      <c r="D3" s="58"/>
      <c r="E3" s="58"/>
      <c r="F3" s="65"/>
      <c r="G3" s="65"/>
      <c r="H3" s="19"/>
      <c r="I3" s="66"/>
      <c r="J3" s="66"/>
      <c r="K3" s="66"/>
      <c r="L3" s="66"/>
      <c r="M3" s="66"/>
      <c r="N3" s="276"/>
      <c r="O3" s="275"/>
      <c r="P3" s="278" t="s">
        <v>0</v>
      </c>
      <c r="Q3" s="278"/>
      <c r="R3" s="277"/>
      <c r="S3" s="277"/>
      <c r="T3" s="277"/>
    </row>
    <row r="4" spans="1:21" ht="46.5" customHeight="1">
      <c r="A4" s="58"/>
      <c r="B4" s="285"/>
      <c r="C4" s="286"/>
      <c r="D4" s="286"/>
      <c r="E4" s="286"/>
      <c r="F4" s="286"/>
      <c r="G4" s="286"/>
      <c r="H4" s="286"/>
      <c r="I4" s="66"/>
      <c r="J4" s="66"/>
      <c r="K4" s="66"/>
      <c r="L4" s="66"/>
      <c r="M4" s="66"/>
      <c r="N4" s="276"/>
      <c r="O4" s="275"/>
      <c r="P4" s="278" t="s">
        <v>1093</v>
      </c>
      <c r="Q4" s="278"/>
      <c r="R4" s="277"/>
      <c r="S4" s="279"/>
      <c r="T4" s="279"/>
    </row>
    <row r="5" spans="1:21" ht="33">
      <c r="A5" s="68"/>
      <c r="B5" s="247"/>
      <c r="C5" s="69"/>
      <c r="D5" s="68"/>
      <c r="E5" s="68"/>
      <c r="F5" s="70"/>
      <c r="G5" s="70"/>
      <c r="H5" s="11"/>
      <c r="I5" s="71"/>
      <c r="J5" s="71"/>
      <c r="K5" s="71"/>
      <c r="L5" s="71"/>
      <c r="M5" s="71"/>
      <c r="N5" s="313"/>
      <c r="O5" s="313"/>
      <c r="P5" s="313"/>
      <c r="Q5" s="313"/>
      <c r="R5" s="313"/>
      <c r="S5" s="313"/>
      <c r="T5" s="68"/>
      <c r="U5" s="68"/>
    </row>
    <row r="6" spans="1:21" ht="27">
      <c r="A6" s="314" t="s">
        <v>813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</row>
    <row r="7" spans="1:21" ht="27.75">
      <c r="A7" s="326" t="s">
        <v>1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</row>
    <row r="8" spans="1:21" ht="18.75">
      <c r="A8" s="72"/>
      <c r="B8" s="263"/>
      <c r="C8" s="73"/>
      <c r="D8" s="72"/>
      <c r="E8" s="72"/>
      <c r="F8" s="74"/>
      <c r="G8" s="75"/>
      <c r="H8" s="20"/>
      <c r="I8" s="76"/>
      <c r="J8" s="76"/>
      <c r="K8" s="76"/>
      <c r="L8" s="76"/>
      <c r="M8" s="76"/>
      <c r="N8" s="76"/>
      <c r="O8" s="76"/>
      <c r="P8" s="76"/>
      <c r="Q8" s="76"/>
      <c r="R8" s="76"/>
      <c r="S8" s="21"/>
      <c r="T8" s="72"/>
      <c r="U8" s="72"/>
    </row>
    <row r="9" spans="1:21" ht="15.75" customHeight="1">
      <c r="A9" s="327" t="s">
        <v>2</v>
      </c>
      <c r="B9" s="330" t="s">
        <v>3</v>
      </c>
      <c r="C9" s="333" t="s">
        <v>4</v>
      </c>
      <c r="D9" s="315" t="s">
        <v>5</v>
      </c>
      <c r="E9" s="315" t="s">
        <v>6</v>
      </c>
      <c r="F9" s="320" t="s">
        <v>7</v>
      </c>
      <c r="G9" s="320" t="s">
        <v>8</v>
      </c>
      <c r="H9" s="317" t="s">
        <v>9</v>
      </c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9"/>
      <c r="T9" s="315" t="s">
        <v>10</v>
      </c>
      <c r="U9" s="315" t="s">
        <v>11</v>
      </c>
    </row>
    <row r="10" spans="1:21" ht="15.75" customHeight="1">
      <c r="A10" s="328"/>
      <c r="B10" s="331"/>
      <c r="C10" s="334"/>
      <c r="D10" s="323"/>
      <c r="E10" s="323"/>
      <c r="F10" s="321"/>
      <c r="G10" s="321"/>
      <c r="H10" s="324" t="s">
        <v>12</v>
      </c>
      <c r="I10" s="315" t="s">
        <v>13</v>
      </c>
      <c r="J10" s="315" t="s">
        <v>14</v>
      </c>
      <c r="K10" s="315" t="s">
        <v>15</v>
      </c>
      <c r="L10" s="315" t="s">
        <v>16</v>
      </c>
      <c r="M10" s="315" t="s">
        <v>17</v>
      </c>
      <c r="N10" s="315" t="s">
        <v>18</v>
      </c>
      <c r="O10" s="315" t="s">
        <v>19</v>
      </c>
      <c r="P10" s="317" t="s">
        <v>20</v>
      </c>
      <c r="Q10" s="318"/>
      <c r="R10" s="318"/>
      <c r="S10" s="319"/>
      <c r="T10" s="323"/>
      <c r="U10" s="323"/>
    </row>
    <row r="11" spans="1:21" ht="79.5" customHeight="1">
      <c r="A11" s="328"/>
      <c r="B11" s="331"/>
      <c r="C11" s="334"/>
      <c r="D11" s="323"/>
      <c r="E11" s="323"/>
      <c r="F11" s="322"/>
      <c r="G11" s="322"/>
      <c r="H11" s="325"/>
      <c r="I11" s="316"/>
      <c r="J11" s="316"/>
      <c r="K11" s="316"/>
      <c r="L11" s="316"/>
      <c r="M11" s="316"/>
      <c r="N11" s="316"/>
      <c r="O11" s="316"/>
      <c r="P11" s="77" t="s">
        <v>21</v>
      </c>
      <c r="Q11" s="77" t="s">
        <v>22</v>
      </c>
      <c r="R11" s="77" t="s">
        <v>23</v>
      </c>
      <c r="S11" s="22" t="s">
        <v>24</v>
      </c>
      <c r="T11" s="323"/>
      <c r="U11" s="323"/>
    </row>
    <row r="12" spans="1:21" ht="20.25" customHeight="1">
      <c r="A12" s="329"/>
      <c r="B12" s="332"/>
      <c r="C12" s="335"/>
      <c r="D12" s="316"/>
      <c r="E12" s="316"/>
      <c r="F12" s="78" t="s">
        <v>25</v>
      </c>
      <c r="G12" s="78" t="s">
        <v>25</v>
      </c>
      <c r="H12" s="23" t="s">
        <v>26</v>
      </c>
      <c r="I12" s="79" t="s">
        <v>26</v>
      </c>
      <c r="J12" s="79" t="s">
        <v>26</v>
      </c>
      <c r="K12" s="79" t="s">
        <v>26</v>
      </c>
      <c r="L12" s="79" t="s">
        <v>26</v>
      </c>
      <c r="M12" s="79" t="s">
        <v>26</v>
      </c>
      <c r="N12" s="79" t="s">
        <v>26</v>
      </c>
      <c r="O12" s="79" t="s">
        <v>26</v>
      </c>
      <c r="P12" s="79" t="s">
        <v>26</v>
      </c>
      <c r="Q12" s="79" t="s">
        <v>26</v>
      </c>
      <c r="R12" s="79" t="s">
        <v>26</v>
      </c>
      <c r="S12" s="24" t="s">
        <v>26</v>
      </c>
      <c r="T12" s="316"/>
      <c r="U12" s="316"/>
    </row>
    <row r="13" spans="1:21" ht="15.75">
      <c r="A13" s="79"/>
      <c r="B13" s="182"/>
      <c r="C13" s="80"/>
      <c r="D13" s="77"/>
      <c r="E13" s="77"/>
      <c r="F13" s="78"/>
      <c r="G13" s="78"/>
      <c r="H13" s="23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24"/>
      <c r="T13" s="77"/>
      <c r="U13" s="77"/>
    </row>
    <row r="14" spans="1:21" ht="15.75">
      <c r="A14" s="79" t="s">
        <v>27</v>
      </c>
      <c r="B14" s="182" t="s">
        <v>28</v>
      </c>
      <c r="C14" s="81" t="s">
        <v>29</v>
      </c>
      <c r="D14" s="82">
        <v>4</v>
      </c>
      <c r="E14" s="82">
        <v>5</v>
      </c>
      <c r="F14" s="79">
        <v>6</v>
      </c>
      <c r="G14" s="79">
        <v>7</v>
      </c>
      <c r="H14" s="79">
        <v>8</v>
      </c>
      <c r="I14" s="79">
        <v>9</v>
      </c>
      <c r="J14" s="79">
        <v>10</v>
      </c>
      <c r="K14" s="79">
        <v>11</v>
      </c>
      <c r="L14" s="79">
        <v>12</v>
      </c>
      <c r="M14" s="79">
        <v>13</v>
      </c>
      <c r="N14" s="79">
        <v>14</v>
      </c>
      <c r="O14" s="79">
        <v>15</v>
      </c>
      <c r="P14" s="25">
        <v>16</v>
      </c>
      <c r="Q14" s="26">
        <v>17</v>
      </c>
      <c r="R14" s="25">
        <v>18</v>
      </c>
      <c r="S14" s="25">
        <v>19</v>
      </c>
      <c r="T14" s="25">
        <v>20</v>
      </c>
      <c r="U14" s="25">
        <v>21</v>
      </c>
    </row>
    <row r="15" spans="1:21" ht="18.75" customHeight="1">
      <c r="A15" s="336" t="s">
        <v>30</v>
      </c>
      <c r="B15" s="337"/>
      <c r="C15" s="83"/>
      <c r="D15" s="84"/>
      <c r="E15" s="84"/>
      <c r="F15" s="85">
        <f t="shared" ref="F15:K15" si="0">F16+F384+F697</f>
        <v>3764192.8</v>
      </c>
      <c r="G15" s="85">
        <f t="shared" si="0"/>
        <v>3357495.3</v>
      </c>
      <c r="H15" s="86">
        <f t="shared" si="0"/>
        <v>7058736893.8400002</v>
      </c>
      <c r="I15" s="86">
        <f t="shared" si="0"/>
        <v>1396519958.4200001</v>
      </c>
      <c r="J15" s="86">
        <f t="shared" si="0"/>
        <v>803456077.03999996</v>
      </c>
      <c r="K15" s="86">
        <f t="shared" si="0"/>
        <v>3240467221.0300002</v>
      </c>
      <c r="L15" s="86">
        <f>L384+L697+5221053.02</f>
        <v>34682475.479999997</v>
      </c>
      <c r="M15" s="86">
        <f t="shared" ref="M15:S15" si="1">M16+M384+M697</f>
        <v>1271284889.72</v>
      </c>
      <c r="N15" s="86">
        <f t="shared" si="1"/>
        <v>44867942.170000002</v>
      </c>
      <c r="O15" s="86">
        <f t="shared" si="1"/>
        <v>267458329.97999999</v>
      </c>
      <c r="P15" s="86">
        <f t="shared" si="1"/>
        <v>156550011.99000001</v>
      </c>
      <c r="Q15" s="86">
        <f t="shared" si="1"/>
        <v>2114310296.8399999</v>
      </c>
      <c r="R15" s="86">
        <f t="shared" si="1"/>
        <v>22278179.329999998</v>
      </c>
      <c r="S15" s="86">
        <f t="shared" si="1"/>
        <v>4767327757.8699999</v>
      </c>
      <c r="T15" s="16" t="s">
        <v>31</v>
      </c>
      <c r="U15" s="16" t="s">
        <v>31</v>
      </c>
    </row>
    <row r="16" spans="1:21" ht="18.75" customHeight="1">
      <c r="A16" s="336" t="s">
        <v>32</v>
      </c>
      <c r="B16" s="337"/>
      <c r="C16" s="87"/>
      <c r="D16" s="88"/>
      <c r="E16" s="88"/>
      <c r="F16" s="14">
        <f>F42+F52+F68+F218+F233+F241+F261+F25+F266+F284+F290+F313+F344+F349+F376+F382</f>
        <v>1204804.8999999999</v>
      </c>
      <c r="G16" s="15">
        <f>G25+G42+G52+G68+G218+G233+G241+G261+G266+G284+G290+G313+G344+G349+G376+G382</f>
        <v>1028289.14</v>
      </c>
      <c r="H16" s="15">
        <f>H25+H42+H52+H68+H218+H233+H241+H261+H266+H284+H291+H313+H344+H349++H376+H382</f>
        <v>1667674973.52</v>
      </c>
      <c r="I16" s="15">
        <f>I42+I52+I68+I218+I233+I241+I261+I25+I266+I284+I290+I313+I344+I349+I376+I382</f>
        <v>208924718.37</v>
      </c>
      <c r="J16" s="15">
        <f>J42+J52+J68+J218+J233+J241+J261+J25+J266+J284+J290+J313+J344+J349+J376+J382</f>
        <v>487928193.24000001</v>
      </c>
      <c r="K16" s="15">
        <f>K42+K52+K68+K218+K233+K241+K261+K25+K266+K284+K290+K313+K344+K349+K376+K382</f>
        <v>657404796.63</v>
      </c>
      <c r="L16" s="15">
        <f>L42+L52+L68+L218+L233+L241+L261+L25+L266+L284+L290+L313+L344+L349+L376+L382</f>
        <v>5221053.0199999996</v>
      </c>
      <c r="M16" s="15">
        <f>M25+M42+M52+M68+M218+M233+M241+M261+M284+M291+M313+M344+M382+M376</f>
        <v>267053691.31999999</v>
      </c>
      <c r="N16" s="15">
        <f t="shared" ref="N16:S16" si="2">N42+N52+N68+N218+N233+N241+N261+N25+N266+N284+N290+N313+N344+N349+N376+N382</f>
        <v>12046368.640000001</v>
      </c>
      <c r="O16" s="15">
        <f t="shared" si="2"/>
        <v>29096152.300000001</v>
      </c>
      <c r="P16" s="15">
        <f t="shared" si="2"/>
        <v>0</v>
      </c>
      <c r="Q16" s="15">
        <f t="shared" si="2"/>
        <v>348177463.12</v>
      </c>
      <c r="R16" s="15">
        <f t="shared" si="2"/>
        <v>13801534.529999999</v>
      </c>
      <c r="S16" s="15">
        <f t="shared" si="2"/>
        <v>1305695975.8699999</v>
      </c>
      <c r="T16" s="16" t="s">
        <v>31</v>
      </c>
      <c r="U16" s="16" t="s">
        <v>31</v>
      </c>
    </row>
    <row r="17" spans="1:21" ht="15.75">
      <c r="A17" s="298" t="s">
        <v>870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300"/>
    </row>
    <row r="18" spans="1:21" ht="15.75">
      <c r="A18" s="89">
        <v>1</v>
      </c>
      <c r="B18" s="264" t="s">
        <v>33</v>
      </c>
      <c r="C18" s="81">
        <v>1988</v>
      </c>
      <c r="D18" s="79"/>
      <c r="E18" s="79"/>
      <c r="F18" s="90">
        <v>4001.1</v>
      </c>
      <c r="G18" s="90">
        <v>3463.1</v>
      </c>
      <c r="H18" s="1">
        <f t="shared" ref="H18:H24" si="3">I18+J18+K18+L18+M18+N18+O18</f>
        <v>1864307.9</v>
      </c>
      <c r="I18" s="1">
        <f>ROUND((214.38+293.24)*G18*1.015,2)</f>
        <v>1784307.9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80000</v>
      </c>
      <c r="P18" s="1">
        <v>0</v>
      </c>
      <c r="Q18" s="1">
        <v>0</v>
      </c>
      <c r="R18" s="1">
        <v>0</v>
      </c>
      <c r="S18" s="91">
        <f>H18</f>
        <v>1864307.9</v>
      </c>
      <c r="T18" s="79">
        <v>2020</v>
      </c>
      <c r="U18" s="79">
        <v>2020</v>
      </c>
    </row>
    <row r="19" spans="1:21" ht="15.75">
      <c r="A19" s="89">
        <f t="shared" ref="A19:A24" si="4">A18+1</f>
        <v>2</v>
      </c>
      <c r="B19" s="264" t="s">
        <v>34</v>
      </c>
      <c r="C19" s="81">
        <v>1980</v>
      </c>
      <c r="D19" s="79"/>
      <c r="E19" s="79"/>
      <c r="F19" s="90">
        <v>2546.5</v>
      </c>
      <c r="G19" s="90">
        <v>2195.6999999999998</v>
      </c>
      <c r="H19" s="1">
        <f t="shared" si="3"/>
        <v>1211299.95</v>
      </c>
      <c r="I19" s="1">
        <f>ROUND((214.38+293.24)*G19*1.015,2)</f>
        <v>1131299.95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80000</v>
      </c>
      <c r="P19" s="1">
        <v>0</v>
      </c>
      <c r="Q19" s="1">
        <v>0</v>
      </c>
      <c r="R19" s="1">
        <v>0</v>
      </c>
      <c r="S19" s="91">
        <f>H19</f>
        <v>1211299.95</v>
      </c>
      <c r="T19" s="79">
        <v>2020</v>
      </c>
      <c r="U19" s="79">
        <v>2020</v>
      </c>
    </row>
    <row r="20" spans="1:21" ht="15.75">
      <c r="A20" s="89">
        <f t="shared" si="4"/>
        <v>3</v>
      </c>
      <c r="B20" s="264" t="s">
        <v>35</v>
      </c>
      <c r="C20" s="81">
        <v>1983</v>
      </c>
      <c r="D20" s="79"/>
      <c r="E20" s="79"/>
      <c r="F20" s="92">
        <v>3983</v>
      </c>
      <c r="G20" s="90">
        <v>3449.3</v>
      </c>
      <c r="H20" s="1">
        <f t="shared" si="3"/>
        <v>1857197.67</v>
      </c>
      <c r="I20" s="1">
        <f>ROUND((214.38+293.24)*G20*1.015,2)</f>
        <v>1777197.67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80000</v>
      </c>
      <c r="P20" s="1">
        <v>0</v>
      </c>
      <c r="Q20" s="1">
        <v>0</v>
      </c>
      <c r="R20" s="1">
        <v>0</v>
      </c>
      <c r="S20" s="91">
        <f>H20</f>
        <v>1857197.67</v>
      </c>
      <c r="T20" s="79">
        <v>2020</v>
      </c>
      <c r="U20" s="79">
        <v>2020</v>
      </c>
    </row>
    <row r="21" spans="1:21" ht="15.75">
      <c r="A21" s="89">
        <f t="shared" si="4"/>
        <v>4</v>
      </c>
      <c r="B21" s="264" t="s">
        <v>36</v>
      </c>
      <c r="C21" s="81">
        <v>1979</v>
      </c>
      <c r="D21" s="79"/>
      <c r="E21" s="79"/>
      <c r="F21" s="90">
        <v>3693.4</v>
      </c>
      <c r="G21" s="90">
        <v>3266.5</v>
      </c>
      <c r="H21" s="1">
        <f t="shared" si="3"/>
        <v>3732020.5</v>
      </c>
      <c r="I21" s="1">
        <v>0</v>
      </c>
      <c r="J21" s="1">
        <v>0</v>
      </c>
      <c r="K21" s="1">
        <v>0</v>
      </c>
      <c r="L21" s="1">
        <v>0</v>
      </c>
      <c r="M21" s="1">
        <f>ROUND(G21*1101.5*1.015,2)</f>
        <v>3652020.5</v>
      </c>
      <c r="N21" s="1">
        <v>0</v>
      </c>
      <c r="O21" s="1">
        <v>80000</v>
      </c>
      <c r="P21" s="1">
        <v>0</v>
      </c>
      <c r="Q21" s="1">
        <v>0</v>
      </c>
      <c r="R21" s="1">
        <v>0</v>
      </c>
      <c r="S21" s="91">
        <f>H21</f>
        <v>3732020.5</v>
      </c>
      <c r="T21" s="79">
        <v>2020</v>
      </c>
      <c r="U21" s="79">
        <v>2020</v>
      </c>
    </row>
    <row r="22" spans="1:21" ht="15.75">
      <c r="A22" s="89">
        <f t="shared" si="4"/>
        <v>5</v>
      </c>
      <c r="B22" s="264" t="s">
        <v>37</v>
      </c>
      <c r="C22" s="81">
        <v>1982</v>
      </c>
      <c r="D22" s="79"/>
      <c r="E22" s="79"/>
      <c r="F22" s="90">
        <v>867.2</v>
      </c>
      <c r="G22" s="90">
        <f>639.4+140.3</f>
        <v>779.7</v>
      </c>
      <c r="H22" s="1">
        <f t="shared" si="3"/>
        <v>2480883.69</v>
      </c>
      <c r="I22" s="1">
        <v>0</v>
      </c>
      <c r="J22" s="1">
        <v>0</v>
      </c>
      <c r="K22" s="1">
        <v>1016800.15</v>
      </c>
      <c r="L22" s="1">
        <v>0</v>
      </c>
      <c r="M22" s="1">
        <v>1464083.54</v>
      </c>
      <c r="N22" s="1">
        <v>0</v>
      </c>
      <c r="O22" s="1">
        <v>0</v>
      </c>
      <c r="P22" s="1">
        <v>0</v>
      </c>
      <c r="Q22" s="91">
        <f>H22</f>
        <v>2480883.69</v>
      </c>
      <c r="R22" s="1">
        <v>0</v>
      </c>
      <c r="S22" s="1">
        <v>0</v>
      </c>
      <c r="T22" s="79">
        <v>2020</v>
      </c>
      <c r="U22" s="79">
        <v>2020</v>
      </c>
    </row>
    <row r="23" spans="1:21" ht="15.75">
      <c r="A23" s="89">
        <f t="shared" si="4"/>
        <v>6</v>
      </c>
      <c r="B23" s="264" t="s">
        <v>38</v>
      </c>
      <c r="C23" s="81">
        <v>1983</v>
      </c>
      <c r="D23" s="79"/>
      <c r="E23" s="79"/>
      <c r="F23" s="90">
        <v>870.1</v>
      </c>
      <c r="G23" s="90">
        <f>583.7+191.5</f>
        <v>775.2</v>
      </c>
      <c r="H23" s="1">
        <f t="shared" si="3"/>
        <v>3172361.27</v>
      </c>
      <c r="I23" s="1">
        <v>0</v>
      </c>
      <c r="J23" s="1">
        <v>0</v>
      </c>
      <c r="K23" s="1">
        <v>955576.38</v>
      </c>
      <c r="L23" s="1">
        <v>0</v>
      </c>
      <c r="M23" s="1">
        <v>2216784.89</v>
      </c>
      <c r="N23" s="1">
        <v>0</v>
      </c>
      <c r="O23" s="1">
        <v>0</v>
      </c>
      <c r="P23" s="1">
        <v>0</v>
      </c>
      <c r="Q23" s="91">
        <f>H23</f>
        <v>3172361.27</v>
      </c>
      <c r="R23" s="1">
        <v>0</v>
      </c>
      <c r="S23" s="1">
        <v>0</v>
      </c>
      <c r="T23" s="79">
        <v>2020</v>
      </c>
      <c r="U23" s="79">
        <v>2020</v>
      </c>
    </row>
    <row r="24" spans="1:21" ht="15.75">
      <c r="A24" s="89">
        <f t="shared" si="4"/>
        <v>7</v>
      </c>
      <c r="B24" s="264" t="s">
        <v>39</v>
      </c>
      <c r="C24" s="81">
        <v>1981</v>
      </c>
      <c r="D24" s="79"/>
      <c r="E24" s="79"/>
      <c r="F24" s="90">
        <v>2439.9</v>
      </c>
      <c r="G24" s="90">
        <v>2098.1</v>
      </c>
      <c r="H24" s="1">
        <f t="shared" si="3"/>
        <v>1161013.08</v>
      </c>
      <c r="I24" s="1">
        <f>ROUND((214.38+293.24)*G24*1.015,2)</f>
        <v>1081013.08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80000</v>
      </c>
      <c r="P24" s="1">
        <v>0</v>
      </c>
      <c r="Q24" s="1">
        <v>0</v>
      </c>
      <c r="R24" s="1">
        <v>0</v>
      </c>
      <c r="S24" s="91">
        <f>H24</f>
        <v>1161013.08</v>
      </c>
      <c r="T24" s="79">
        <v>2020</v>
      </c>
      <c r="U24" s="79">
        <v>2020</v>
      </c>
    </row>
    <row r="25" spans="1:21" ht="15.75">
      <c r="A25" s="301" t="s">
        <v>40</v>
      </c>
      <c r="B25" s="303"/>
      <c r="C25" s="93"/>
      <c r="D25" s="94"/>
      <c r="E25" s="94"/>
      <c r="F25" s="14">
        <f t="shared" ref="F25:S25" si="5">SUM(F18:F24)</f>
        <v>18401.2</v>
      </c>
      <c r="G25" s="27">
        <f>SUM(G18:G24)</f>
        <v>16027.6</v>
      </c>
      <c r="H25" s="27">
        <f t="shared" si="5"/>
        <v>15479084.060000001</v>
      </c>
      <c r="I25" s="27">
        <f>SUM(I18:I24)</f>
        <v>5773818.5999999996</v>
      </c>
      <c r="J25" s="15">
        <f t="shared" si="5"/>
        <v>0</v>
      </c>
      <c r="K25" s="15">
        <f t="shared" si="5"/>
        <v>1972376.53</v>
      </c>
      <c r="L25" s="15">
        <f>SUM(L18:L24)</f>
        <v>0</v>
      </c>
      <c r="M25" s="15">
        <f t="shared" si="5"/>
        <v>7332888.9299999997</v>
      </c>
      <c r="N25" s="15">
        <f t="shared" si="5"/>
        <v>0</v>
      </c>
      <c r="O25" s="15">
        <f t="shared" si="5"/>
        <v>400000</v>
      </c>
      <c r="P25" s="15">
        <f t="shared" si="5"/>
        <v>0</v>
      </c>
      <c r="Q25" s="15">
        <f t="shared" si="5"/>
        <v>5653244.96</v>
      </c>
      <c r="R25" s="15">
        <f t="shared" si="5"/>
        <v>0</v>
      </c>
      <c r="S25" s="15">
        <f t="shared" si="5"/>
        <v>9825839.0999999996</v>
      </c>
      <c r="T25" s="16" t="s">
        <v>31</v>
      </c>
      <c r="U25" s="16" t="s">
        <v>31</v>
      </c>
    </row>
    <row r="26" spans="1:21" ht="15.75">
      <c r="A26" s="289" t="s">
        <v>41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</row>
    <row r="27" spans="1:21" ht="15.75">
      <c r="A27" s="79">
        <f>A24+1</f>
        <v>8</v>
      </c>
      <c r="B27" s="186" t="s">
        <v>42</v>
      </c>
      <c r="C27" s="95">
        <v>1965</v>
      </c>
      <c r="D27" s="28"/>
      <c r="E27" s="28"/>
      <c r="F27" s="96">
        <v>4000.4</v>
      </c>
      <c r="G27" s="96">
        <v>3490.3</v>
      </c>
      <c r="H27" s="1">
        <f>I27+J27+K27+L27+M27+N27+O27</f>
        <v>9331969.0899999999</v>
      </c>
      <c r="I27" s="1">
        <v>0</v>
      </c>
      <c r="J27" s="1">
        <v>0</v>
      </c>
      <c r="K27" s="1">
        <f>ROUND(G27*2604.66*1.015,2)</f>
        <v>9227410.4700000007</v>
      </c>
      <c r="L27" s="1">
        <v>0</v>
      </c>
      <c r="M27" s="1">
        <v>0</v>
      </c>
      <c r="N27" s="1">
        <v>0</v>
      </c>
      <c r="O27" s="97">
        <v>104558.62</v>
      </c>
      <c r="P27" s="1">
        <v>0</v>
      </c>
      <c r="Q27" s="1">
        <v>0</v>
      </c>
      <c r="R27" s="1">
        <v>0</v>
      </c>
      <c r="S27" s="1">
        <f>H27</f>
        <v>9331969.0899999999</v>
      </c>
      <c r="T27" s="79">
        <v>2020</v>
      </c>
      <c r="U27" s="79">
        <v>2020</v>
      </c>
    </row>
    <row r="28" spans="1:21" ht="15.75">
      <c r="A28" s="79">
        <f>A27+1</f>
        <v>9</v>
      </c>
      <c r="B28" s="186" t="s">
        <v>43</v>
      </c>
      <c r="C28" s="81">
        <v>1965</v>
      </c>
      <c r="D28" s="28"/>
      <c r="E28" s="28"/>
      <c r="F28" s="98">
        <v>3972.2</v>
      </c>
      <c r="G28" s="98">
        <v>3501.3</v>
      </c>
      <c r="H28" s="1">
        <f>I28+J28+K28+L28+M28+N28+O28</f>
        <v>9365738.2599999998</v>
      </c>
      <c r="I28" s="1">
        <v>0</v>
      </c>
      <c r="J28" s="1">
        <v>0</v>
      </c>
      <c r="K28" s="1">
        <f>ROUND(3501.3*2604.66*1.015,2)</f>
        <v>9256491.5</v>
      </c>
      <c r="L28" s="1">
        <v>0</v>
      </c>
      <c r="M28" s="1">
        <v>0</v>
      </c>
      <c r="N28" s="1">
        <v>0</v>
      </c>
      <c r="O28" s="1">
        <v>109246.76</v>
      </c>
      <c r="P28" s="1">
        <v>0</v>
      </c>
      <c r="Q28" s="1">
        <v>0</v>
      </c>
      <c r="R28" s="1">
        <v>0</v>
      </c>
      <c r="S28" s="1">
        <f t="shared" ref="S28:S41" si="6">H28</f>
        <v>9365738.2599999998</v>
      </c>
      <c r="T28" s="79">
        <v>2020</v>
      </c>
      <c r="U28" s="79">
        <v>2020</v>
      </c>
    </row>
    <row r="29" spans="1:21" ht="15.75">
      <c r="A29" s="79">
        <f>A28+1</f>
        <v>10</v>
      </c>
      <c r="B29" s="186" t="s">
        <v>44</v>
      </c>
      <c r="C29" s="81">
        <v>1964</v>
      </c>
      <c r="D29" s="28"/>
      <c r="E29" s="28"/>
      <c r="F29" s="92">
        <v>6222.1</v>
      </c>
      <c r="G29" s="92">
        <v>5677.7</v>
      </c>
      <c r="H29" s="1">
        <f t="shared" ref="H29:H41" si="7">I29+J29+K29+L29+M29+N29+O29</f>
        <v>15131558.51</v>
      </c>
      <c r="I29" s="1">
        <v>0</v>
      </c>
      <c r="J29" s="1">
        <v>0</v>
      </c>
      <c r="K29" s="1">
        <f>ROUND(5677.7*2604.66*1.015,2)</f>
        <v>15010305.25</v>
      </c>
      <c r="L29" s="1">
        <v>0</v>
      </c>
      <c r="M29" s="1">
        <v>0</v>
      </c>
      <c r="N29" s="1">
        <v>0</v>
      </c>
      <c r="O29" s="1">
        <v>121253.26</v>
      </c>
      <c r="P29" s="1">
        <v>0</v>
      </c>
      <c r="Q29" s="1">
        <v>0</v>
      </c>
      <c r="R29" s="1">
        <v>0</v>
      </c>
      <c r="S29" s="1">
        <f t="shared" si="6"/>
        <v>15131558.51</v>
      </c>
      <c r="T29" s="79">
        <v>2020</v>
      </c>
      <c r="U29" s="79">
        <v>2020</v>
      </c>
    </row>
    <row r="30" spans="1:21" ht="15.75">
      <c r="A30" s="79">
        <f t="shared" ref="A30:A41" si="8">A29+1</f>
        <v>11</v>
      </c>
      <c r="B30" s="186" t="s">
        <v>45</v>
      </c>
      <c r="C30" s="81">
        <v>1964</v>
      </c>
      <c r="D30" s="79"/>
      <c r="E30" s="79"/>
      <c r="F30" s="92">
        <v>3740.8</v>
      </c>
      <c r="G30" s="92">
        <v>3468.7</v>
      </c>
      <c r="H30" s="1">
        <f t="shared" si="7"/>
        <v>9277871.1600000001</v>
      </c>
      <c r="I30" s="1">
        <v>0</v>
      </c>
      <c r="J30" s="1">
        <v>0</v>
      </c>
      <c r="K30" s="1">
        <f>ROUND(3468.7*2604.66*1.015,2)</f>
        <v>9170305.9000000004</v>
      </c>
      <c r="L30" s="1">
        <v>0</v>
      </c>
      <c r="M30" s="1">
        <v>0</v>
      </c>
      <c r="N30" s="1">
        <v>0</v>
      </c>
      <c r="O30" s="1">
        <v>107565.26</v>
      </c>
      <c r="P30" s="1">
        <v>0</v>
      </c>
      <c r="Q30" s="1">
        <v>0</v>
      </c>
      <c r="R30" s="1">
        <v>0</v>
      </c>
      <c r="S30" s="1">
        <f t="shared" si="6"/>
        <v>9277871.1600000001</v>
      </c>
      <c r="T30" s="79">
        <v>2020</v>
      </c>
      <c r="U30" s="79">
        <v>2020</v>
      </c>
    </row>
    <row r="31" spans="1:21" ht="15.75">
      <c r="A31" s="79">
        <f t="shared" si="8"/>
        <v>12</v>
      </c>
      <c r="B31" s="186" t="s">
        <v>46</v>
      </c>
      <c r="C31" s="81">
        <v>1964</v>
      </c>
      <c r="D31" s="79"/>
      <c r="E31" s="79"/>
      <c r="F31" s="92">
        <v>3742.8</v>
      </c>
      <c r="G31" s="92">
        <v>3471.8</v>
      </c>
      <c r="H31" s="1">
        <f t="shared" si="7"/>
        <v>9285794.1500000004</v>
      </c>
      <c r="I31" s="1">
        <v>0</v>
      </c>
      <c r="J31" s="1">
        <v>0</v>
      </c>
      <c r="K31" s="1">
        <f>ROUND(3471.8*2604.66*1.015,2)</f>
        <v>9178501.4700000007</v>
      </c>
      <c r="L31" s="1">
        <v>0</v>
      </c>
      <c r="M31" s="1">
        <v>0</v>
      </c>
      <c r="N31" s="1">
        <v>0</v>
      </c>
      <c r="O31" s="1">
        <v>107292.68</v>
      </c>
      <c r="P31" s="1">
        <v>0</v>
      </c>
      <c r="Q31" s="1">
        <v>0</v>
      </c>
      <c r="R31" s="1">
        <v>0</v>
      </c>
      <c r="S31" s="1">
        <f t="shared" si="6"/>
        <v>9285794.1500000004</v>
      </c>
      <c r="T31" s="79">
        <v>2020</v>
      </c>
      <c r="U31" s="79">
        <v>2020</v>
      </c>
    </row>
    <row r="32" spans="1:21" ht="15.75">
      <c r="A32" s="79">
        <f t="shared" si="8"/>
        <v>13</v>
      </c>
      <c r="B32" s="186" t="s">
        <v>47</v>
      </c>
      <c r="C32" s="81">
        <v>1964</v>
      </c>
      <c r="D32" s="79"/>
      <c r="E32" s="79"/>
      <c r="F32" s="92">
        <v>3727.2</v>
      </c>
      <c r="G32" s="92">
        <v>3473.4</v>
      </c>
      <c r="H32" s="1">
        <f t="shared" si="7"/>
        <v>9290413.5099999998</v>
      </c>
      <c r="I32" s="1">
        <v>0</v>
      </c>
      <c r="J32" s="1">
        <v>0</v>
      </c>
      <c r="K32" s="1">
        <f>ROUND(3473.4*2604.66*1.015,2)</f>
        <v>9182731.4299999997</v>
      </c>
      <c r="L32" s="1">
        <v>0</v>
      </c>
      <c r="M32" s="1">
        <v>0</v>
      </c>
      <c r="N32" s="1">
        <v>0</v>
      </c>
      <c r="O32" s="1">
        <v>107682.08</v>
      </c>
      <c r="P32" s="1">
        <v>0</v>
      </c>
      <c r="Q32" s="1">
        <v>0</v>
      </c>
      <c r="R32" s="1">
        <v>0</v>
      </c>
      <c r="S32" s="1">
        <f t="shared" si="6"/>
        <v>9290413.5099999998</v>
      </c>
      <c r="T32" s="79">
        <v>2020</v>
      </c>
      <c r="U32" s="79">
        <v>2020</v>
      </c>
    </row>
    <row r="33" spans="1:21" ht="15.75">
      <c r="A33" s="79">
        <f t="shared" si="8"/>
        <v>14</v>
      </c>
      <c r="B33" s="186" t="s">
        <v>48</v>
      </c>
      <c r="C33" s="99">
        <v>1965</v>
      </c>
      <c r="D33" s="28"/>
      <c r="E33" s="28"/>
      <c r="F33" s="29">
        <v>3762.3</v>
      </c>
      <c r="G33" s="29">
        <v>3462.9</v>
      </c>
      <c r="H33" s="1">
        <f>I33+J33+K33+L33+M33+N33+O33</f>
        <v>9255643.9700000007</v>
      </c>
      <c r="I33" s="1">
        <v>0</v>
      </c>
      <c r="J33" s="1">
        <v>0</v>
      </c>
      <c r="K33" s="1">
        <f>ROUND(G33*2604.66*1.015,2)</f>
        <v>9154972.2699999996</v>
      </c>
      <c r="L33" s="1">
        <v>0</v>
      </c>
      <c r="M33" s="1">
        <v>0</v>
      </c>
      <c r="N33" s="1">
        <v>0</v>
      </c>
      <c r="O33" s="97">
        <v>100671.7</v>
      </c>
      <c r="P33" s="1">
        <v>0</v>
      </c>
      <c r="Q33" s="1">
        <v>0</v>
      </c>
      <c r="R33" s="1">
        <v>0</v>
      </c>
      <c r="S33" s="1">
        <f>H33</f>
        <v>9255643.9700000007</v>
      </c>
      <c r="T33" s="79">
        <v>2020</v>
      </c>
      <c r="U33" s="79">
        <v>2020</v>
      </c>
    </row>
    <row r="34" spans="1:21" ht="15.75">
      <c r="A34" s="79">
        <f t="shared" si="8"/>
        <v>15</v>
      </c>
      <c r="B34" s="186" t="s">
        <v>49</v>
      </c>
      <c r="C34" s="81">
        <v>1964</v>
      </c>
      <c r="D34" s="79"/>
      <c r="E34" s="79"/>
      <c r="F34" s="92">
        <v>3733.4</v>
      </c>
      <c r="G34" s="92">
        <v>3478.6</v>
      </c>
      <c r="H34" s="1">
        <f t="shared" si="7"/>
        <v>9303865.9100000001</v>
      </c>
      <c r="I34" s="1">
        <v>0</v>
      </c>
      <c r="J34" s="1">
        <v>0</v>
      </c>
      <c r="K34" s="1">
        <f>ROUND(3478.6*2604.66*1.015,2)</f>
        <v>9196478.8300000001</v>
      </c>
      <c r="L34" s="1">
        <v>0</v>
      </c>
      <c r="M34" s="1">
        <v>0</v>
      </c>
      <c r="N34" s="1">
        <v>0</v>
      </c>
      <c r="O34" s="1">
        <v>107387.08</v>
      </c>
      <c r="P34" s="1">
        <v>0</v>
      </c>
      <c r="Q34" s="1">
        <v>0</v>
      </c>
      <c r="R34" s="1">
        <v>0</v>
      </c>
      <c r="S34" s="1">
        <f t="shared" si="6"/>
        <v>9303865.9100000001</v>
      </c>
      <c r="T34" s="79">
        <v>2020</v>
      </c>
      <c r="U34" s="79">
        <v>2020</v>
      </c>
    </row>
    <row r="35" spans="1:21" ht="15.75">
      <c r="A35" s="79">
        <f t="shared" si="8"/>
        <v>16</v>
      </c>
      <c r="B35" s="186" t="s">
        <v>50</v>
      </c>
      <c r="C35" s="81">
        <v>1964</v>
      </c>
      <c r="D35" s="79"/>
      <c r="E35" s="79"/>
      <c r="F35" s="98">
        <v>3679.3</v>
      </c>
      <c r="G35" s="98">
        <v>3437.7</v>
      </c>
      <c r="H35" s="1">
        <f t="shared" si="7"/>
        <v>9739399.6999999993</v>
      </c>
      <c r="I35" s="1">
        <v>0</v>
      </c>
      <c r="J35" s="1">
        <v>0</v>
      </c>
      <c r="K35" s="1">
        <f>ROUND(3437.7*2760.17*1.015,2)</f>
        <v>9630965.9600000009</v>
      </c>
      <c r="L35" s="1">
        <v>0</v>
      </c>
      <c r="M35" s="1">
        <v>0</v>
      </c>
      <c r="N35" s="1">
        <v>0</v>
      </c>
      <c r="O35" s="1">
        <v>108433.74</v>
      </c>
      <c r="P35" s="1">
        <v>0</v>
      </c>
      <c r="Q35" s="1">
        <v>0</v>
      </c>
      <c r="R35" s="1">
        <v>0</v>
      </c>
      <c r="S35" s="1">
        <f t="shared" si="6"/>
        <v>9739399.6999999993</v>
      </c>
      <c r="T35" s="79">
        <v>2020</v>
      </c>
      <c r="U35" s="79">
        <v>2020</v>
      </c>
    </row>
    <row r="36" spans="1:21" ht="15.75">
      <c r="A36" s="79">
        <f t="shared" si="8"/>
        <v>17</v>
      </c>
      <c r="B36" s="186" t="s">
        <v>51</v>
      </c>
      <c r="C36" s="81">
        <v>1965</v>
      </c>
      <c r="D36" s="79"/>
      <c r="E36" s="79"/>
      <c r="F36" s="92">
        <v>2721</v>
      </c>
      <c r="G36" s="92">
        <v>2499.9</v>
      </c>
      <c r="H36" s="1">
        <f t="shared" si="7"/>
        <v>125521.22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125521.22</v>
      </c>
      <c r="P36" s="1">
        <v>0</v>
      </c>
      <c r="Q36" s="1">
        <v>0</v>
      </c>
      <c r="R36" s="1">
        <v>0</v>
      </c>
      <c r="S36" s="1">
        <f t="shared" si="6"/>
        <v>125521.22</v>
      </c>
      <c r="T36" s="79">
        <v>2020</v>
      </c>
      <c r="U36" s="79">
        <v>2021</v>
      </c>
    </row>
    <row r="37" spans="1:21" ht="15.75">
      <c r="A37" s="79">
        <f t="shared" si="8"/>
        <v>18</v>
      </c>
      <c r="B37" s="186" t="s">
        <v>52</v>
      </c>
      <c r="C37" s="81">
        <v>1965</v>
      </c>
      <c r="D37" s="79"/>
      <c r="E37" s="79"/>
      <c r="F37" s="92">
        <v>2672.5</v>
      </c>
      <c r="G37" s="92">
        <v>2472.6999999999998</v>
      </c>
      <c r="H37" s="1">
        <f t="shared" si="7"/>
        <v>7026095.2599999998</v>
      </c>
      <c r="I37" s="1">
        <v>0</v>
      </c>
      <c r="J37" s="1">
        <v>0</v>
      </c>
      <c r="K37" s="1">
        <f>ROUND(2472.7*2760.17*1.015,2)</f>
        <v>6927448.4400000004</v>
      </c>
      <c r="L37" s="1">
        <v>0</v>
      </c>
      <c r="M37" s="1"/>
      <c r="N37" s="1">
        <v>0</v>
      </c>
      <c r="O37" s="1">
        <v>98646.82</v>
      </c>
      <c r="P37" s="1">
        <v>0</v>
      </c>
      <c r="Q37" s="1">
        <v>0</v>
      </c>
      <c r="R37" s="1">
        <v>0</v>
      </c>
      <c r="S37" s="1">
        <f t="shared" si="6"/>
        <v>7026095.2599999998</v>
      </c>
      <c r="T37" s="79">
        <v>2020</v>
      </c>
      <c r="U37" s="79">
        <v>2020</v>
      </c>
    </row>
    <row r="38" spans="1:21" ht="15.75">
      <c r="A38" s="79">
        <f t="shared" si="8"/>
        <v>19</v>
      </c>
      <c r="B38" s="186" t="s">
        <v>53</v>
      </c>
      <c r="C38" s="81">
        <v>1964</v>
      </c>
      <c r="D38" s="79"/>
      <c r="E38" s="79"/>
      <c r="F38" s="92">
        <v>1638.3</v>
      </c>
      <c r="G38" s="92">
        <v>1462.1</v>
      </c>
      <c r="H38" s="1">
        <f>I38+J38+K38+L38+M38+N38+O38</f>
        <v>14430794.130000001</v>
      </c>
      <c r="I38" s="1">
        <v>0</v>
      </c>
      <c r="J38" s="1">
        <v>0</v>
      </c>
      <c r="K38" s="1">
        <f>ROUND(1462.1*5781.6*1.015,2)</f>
        <v>8580076.5199999996</v>
      </c>
      <c r="L38" s="1">
        <v>0</v>
      </c>
      <c r="M38" s="1">
        <f>ROUND(G38*3636.52*1.015,2)</f>
        <v>5396710.2300000004</v>
      </c>
      <c r="N38" s="1">
        <v>0</v>
      </c>
      <c r="O38" s="1">
        <v>454007.38</v>
      </c>
      <c r="P38" s="1">
        <v>0</v>
      </c>
      <c r="Q38" s="1">
        <v>0</v>
      </c>
      <c r="R38" s="1">
        <v>0</v>
      </c>
      <c r="S38" s="1">
        <f t="shared" si="6"/>
        <v>14430794.130000001</v>
      </c>
      <c r="T38" s="79">
        <v>2020</v>
      </c>
      <c r="U38" s="79">
        <v>2020</v>
      </c>
    </row>
    <row r="39" spans="1:21" ht="15.75">
      <c r="A39" s="79">
        <f t="shared" si="8"/>
        <v>20</v>
      </c>
      <c r="B39" s="186" t="s">
        <v>54</v>
      </c>
      <c r="C39" s="81">
        <v>1958</v>
      </c>
      <c r="D39" s="79"/>
      <c r="E39" s="79"/>
      <c r="F39" s="92">
        <v>3584.1</v>
      </c>
      <c r="G39" s="92">
        <v>2422</v>
      </c>
      <c r="H39" s="1">
        <f t="shared" si="7"/>
        <v>6959110.46</v>
      </c>
      <c r="I39" s="1">
        <v>0</v>
      </c>
      <c r="J39" s="1">
        <v>0</v>
      </c>
      <c r="K39" s="1">
        <f>ROUND(G39*2760.17*1.015,2)</f>
        <v>6785408.7199999997</v>
      </c>
      <c r="L39" s="1">
        <v>0</v>
      </c>
      <c r="M39" s="1">
        <v>0</v>
      </c>
      <c r="N39" s="1">
        <v>0</v>
      </c>
      <c r="O39" s="1">
        <v>173701.74</v>
      </c>
      <c r="P39" s="1">
        <v>0</v>
      </c>
      <c r="Q39" s="1">
        <v>0</v>
      </c>
      <c r="R39" s="1">
        <v>0</v>
      </c>
      <c r="S39" s="1">
        <f t="shared" si="6"/>
        <v>6959110.46</v>
      </c>
      <c r="T39" s="79">
        <v>2020</v>
      </c>
      <c r="U39" s="79">
        <v>2020</v>
      </c>
    </row>
    <row r="40" spans="1:21" ht="15.75">
      <c r="A40" s="79">
        <f t="shared" si="8"/>
        <v>21</v>
      </c>
      <c r="B40" s="186" t="s">
        <v>55</v>
      </c>
      <c r="C40" s="81">
        <v>1964</v>
      </c>
      <c r="D40" s="79"/>
      <c r="E40" s="79"/>
      <c r="F40" s="92">
        <v>3744.2</v>
      </c>
      <c r="G40" s="92">
        <v>3472.6</v>
      </c>
      <c r="H40" s="1">
        <f t="shared" si="7"/>
        <v>9285639.9900000002</v>
      </c>
      <c r="I40" s="1">
        <v>0</v>
      </c>
      <c r="J40" s="1">
        <v>0</v>
      </c>
      <c r="K40" s="1">
        <f>ROUND(3472.6*2604.66*1.015,2)</f>
        <v>9180616.4499999993</v>
      </c>
      <c r="L40" s="1">
        <v>0</v>
      </c>
      <c r="M40" s="1">
        <v>0</v>
      </c>
      <c r="N40" s="1">
        <v>0</v>
      </c>
      <c r="O40" s="1">
        <v>105023.54</v>
      </c>
      <c r="P40" s="1">
        <v>0</v>
      </c>
      <c r="Q40" s="1">
        <v>0</v>
      </c>
      <c r="R40" s="1">
        <v>0</v>
      </c>
      <c r="S40" s="1">
        <f t="shared" si="6"/>
        <v>9285639.9900000002</v>
      </c>
      <c r="T40" s="79">
        <v>2020</v>
      </c>
      <c r="U40" s="79">
        <v>2020</v>
      </c>
    </row>
    <row r="41" spans="1:21" ht="15.75">
      <c r="A41" s="79">
        <f t="shared" si="8"/>
        <v>22</v>
      </c>
      <c r="B41" s="186" t="s">
        <v>56</v>
      </c>
      <c r="C41" s="81">
        <v>1966</v>
      </c>
      <c r="D41" s="79"/>
      <c r="E41" s="79"/>
      <c r="F41" s="92">
        <v>3768</v>
      </c>
      <c r="G41" s="92">
        <v>3477.4</v>
      </c>
      <c r="H41" s="1">
        <f t="shared" si="7"/>
        <v>9358840.9700000007</v>
      </c>
      <c r="I41" s="1">
        <v>0</v>
      </c>
      <c r="J41" s="1">
        <v>0</v>
      </c>
      <c r="K41" s="1">
        <f>ROUND(3477.4*2604.66*1.015,2)</f>
        <v>9193306.3499999996</v>
      </c>
      <c r="L41" s="1">
        <v>0</v>
      </c>
      <c r="M41" s="1">
        <v>0</v>
      </c>
      <c r="N41" s="1">
        <v>0</v>
      </c>
      <c r="O41" s="1">
        <v>165534.62</v>
      </c>
      <c r="P41" s="1">
        <v>0</v>
      </c>
      <c r="Q41" s="1">
        <v>0</v>
      </c>
      <c r="R41" s="1">
        <v>0</v>
      </c>
      <c r="S41" s="1">
        <f t="shared" si="6"/>
        <v>9358840.9700000007</v>
      </c>
      <c r="T41" s="79">
        <v>2020</v>
      </c>
      <c r="U41" s="79">
        <v>2020</v>
      </c>
    </row>
    <row r="42" spans="1:21" ht="15.75">
      <c r="A42" s="290" t="s">
        <v>40</v>
      </c>
      <c r="B42" s="290"/>
      <c r="C42" s="81"/>
      <c r="D42" s="79"/>
      <c r="E42" s="79"/>
      <c r="F42" s="15">
        <f t="shared" ref="F42:K42" si="9">SUM(F27:F41)</f>
        <v>54708.6</v>
      </c>
      <c r="G42" s="27">
        <f t="shared" si="9"/>
        <v>49269.1</v>
      </c>
      <c r="H42" s="15">
        <f>SUM(H27:H41)</f>
        <v>137168256.28999999</v>
      </c>
      <c r="I42" s="15">
        <f t="shared" si="9"/>
        <v>0</v>
      </c>
      <c r="J42" s="15">
        <f t="shared" si="9"/>
        <v>0</v>
      </c>
      <c r="K42" s="15">
        <f t="shared" si="9"/>
        <v>129675019.56</v>
      </c>
      <c r="L42" s="15">
        <f>SUM(L27:L41)</f>
        <v>0</v>
      </c>
      <c r="M42" s="15">
        <f>SUM(M27:M41)</f>
        <v>5396710.2300000004</v>
      </c>
      <c r="N42" s="15">
        <f t="shared" ref="N42:R42" si="10">SUM(N28:N41)</f>
        <v>0</v>
      </c>
      <c r="O42" s="15">
        <f>SUM(O27:O41)</f>
        <v>2096526.5</v>
      </c>
      <c r="P42" s="15">
        <f t="shared" si="10"/>
        <v>0</v>
      </c>
      <c r="Q42" s="15">
        <f t="shared" si="10"/>
        <v>0</v>
      </c>
      <c r="R42" s="15">
        <f t="shared" si="10"/>
        <v>0</v>
      </c>
      <c r="S42" s="27">
        <f>SUM(S27:S41)</f>
        <v>137168256.28999999</v>
      </c>
      <c r="T42" s="16" t="s">
        <v>31</v>
      </c>
      <c r="U42" s="16" t="s">
        <v>31</v>
      </c>
    </row>
    <row r="43" spans="1:21" ht="15.75" customHeight="1">
      <c r="A43" s="298" t="s">
        <v>57</v>
      </c>
      <c r="B43" s="299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300"/>
    </row>
    <row r="44" spans="1:21" ht="15.75">
      <c r="A44" s="79">
        <f>A41+1</f>
        <v>23</v>
      </c>
      <c r="B44" s="191" t="s">
        <v>58</v>
      </c>
      <c r="C44" s="81">
        <v>1936</v>
      </c>
      <c r="D44" s="100"/>
      <c r="E44" s="100"/>
      <c r="F44" s="101">
        <v>4657</v>
      </c>
      <c r="G44" s="102">
        <v>3505.7</v>
      </c>
      <c r="H44" s="30">
        <f>M44+O44+I44</f>
        <v>9611506.9299999997</v>
      </c>
      <c r="I44" s="1">
        <v>0</v>
      </c>
      <c r="J44" s="1">
        <v>0</v>
      </c>
      <c r="K44" s="1" t="s">
        <v>59</v>
      </c>
      <c r="L44" s="1">
        <v>0</v>
      </c>
      <c r="M44" s="1">
        <v>9421877.4299999997</v>
      </c>
      <c r="N44" s="1">
        <v>0</v>
      </c>
      <c r="O44" s="31">
        <v>189629.5</v>
      </c>
      <c r="P44" s="1">
        <v>0</v>
      </c>
      <c r="Q44" s="1">
        <f>I44*99%</f>
        <v>0</v>
      </c>
      <c r="R44" s="1"/>
      <c r="S44" s="103">
        <f t="shared" ref="S44:S51" si="11">H44</f>
        <v>9611506.9299999997</v>
      </c>
      <c r="T44" s="79">
        <v>2019</v>
      </c>
      <c r="U44" s="79">
        <v>2020</v>
      </c>
    </row>
    <row r="45" spans="1:21" ht="15.75">
      <c r="A45" s="79">
        <f>A44+1</f>
        <v>24</v>
      </c>
      <c r="B45" s="265" t="s">
        <v>60</v>
      </c>
      <c r="C45" s="81">
        <v>1957</v>
      </c>
      <c r="D45" s="100"/>
      <c r="E45" s="100"/>
      <c r="F45" s="101">
        <v>3498.4</v>
      </c>
      <c r="G45" s="102">
        <v>3176.6</v>
      </c>
      <c r="H45" s="30">
        <f>I45+J45+K45+L45+M45+N45+O45</f>
        <v>19265951.780000001</v>
      </c>
      <c r="I45" s="1">
        <v>0</v>
      </c>
      <c r="J45" s="1">
        <v>0</v>
      </c>
      <c r="K45" s="1">
        <f>ROUND(G45*5975.33*1.015,2)</f>
        <v>19265951.780000001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03">
        <f t="shared" si="11"/>
        <v>19265951.780000001</v>
      </c>
      <c r="T45" s="79">
        <v>2020</v>
      </c>
      <c r="U45" s="79">
        <v>2020</v>
      </c>
    </row>
    <row r="46" spans="1:21" ht="15.75">
      <c r="A46" s="79">
        <f t="shared" ref="A46:A51" si="12">A45+1</f>
        <v>25</v>
      </c>
      <c r="B46" s="265" t="s">
        <v>61</v>
      </c>
      <c r="C46" s="81">
        <v>1957</v>
      </c>
      <c r="D46" s="100"/>
      <c r="E46" s="100"/>
      <c r="F46" s="101">
        <v>4252.6000000000004</v>
      </c>
      <c r="G46" s="103">
        <v>3407.17</v>
      </c>
      <c r="H46" s="30">
        <f>I46+J46+K46+L46+M46+N46+O46</f>
        <v>20664349.59</v>
      </c>
      <c r="I46" s="1">
        <v>0</v>
      </c>
      <c r="J46" s="1">
        <v>0</v>
      </c>
      <c r="K46" s="1">
        <f>ROUND(G46*5975.33*1.015,2)</f>
        <v>20664349.59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03">
        <f t="shared" si="11"/>
        <v>20664349.59</v>
      </c>
      <c r="T46" s="79">
        <v>2020</v>
      </c>
      <c r="U46" s="79">
        <v>2020</v>
      </c>
    </row>
    <row r="47" spans="1:21" ht="15.75">
      <c r="A47" s="79">
        <f t="shared" si="12"/>
        <v>26</v>
      </c>
      <c r="B47" s="191" t="s">
        <v>62</v>
      </c>
      <c r="C47" s="81">
        <v>1962</v>
      </c>
      <c r="D47" s="100"/>
      <c r="E47" s="100"/>
      <c r="F47" s="101">
        <v>3377.4</v>
      </c>
      <c r="G47" s="102">
        <v>3109.5</v>
      </c>
      <c r="H47" s="1">
        <f>I47+J47+K47+L47+M47+N47+O47</f>
        <v>7245808.8300000001</v>
      </c>
      <c r="I47" s="1">
        <v>0</v>
      </c>
      <c r="J47" s="1">
        <v>0</v>
      </c>
      <c r="K47" s="1">
        <v>0</v>
      </c>
      <c r="L47" s="1">
        <v>0</v>
      </c>
      <c r="M47" s="1">
        <f>7138727.91*1.015</f>
        <v>7245808.8300000001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03">
        <f t="shared" si="11"/>
        <v>7245808.8300000001</v>
      </c>
      <c r="T47" s="79">
        <v>2020</v>
      </c>
      <c r="U47" s="79">
        <v>2020</v>
      </c>
    </row>
    <row r="48" spans="1:21" ht="15.75">
      <c r="A48" s="79">
        <f t="shared" si="12"/>
        <v>27</v>
      </c>
      <c r="B48" s="191" t="s">
        <v>63</v>
      </c>
      <c r="C48" s="81">
        <v>1953</v>
      </c>
      <c r="D48" s="100"/>
      <c r="E48" s="100"/>
      <c r="F48" s="101">
        <v>5543.5</v>
      </c>
      <c r="G48" s="102">
        <v>4717.3</v>
      </c>
      <c r="H48" s="30">
        <f>O48</f>
        <v>569303.53</v>
      </c>
      <c r="I48" s="1">
        <v>0</v>
      </c>
      <c r="J48" s="1">
        <v>0</v>
      </c>
      <c r="K48" s="1" t="s">
        <v>59</v>
      </c>
      <c r="L48" s="1">
        <v>0</v>
      </c>
      <c r="M48" s="1">
        <v>0</v>
      </c>
      <c r="N48" s="1">
        <v>0</v>
      </c>
      <c r="O48" s="31">
        <v>569303.53</v>
      </c>
      <c r="P48" s="1">
        <v>0</v>
      </c>
      <c r="Q48" s="1">
        <v>0</v>
      </c>
      <c r="R48" s="1">
        <v>0</v>
      </c>
      <c r="S48" s="103">
        <f t="shared" si="11"/>
        <v>569303.53</v>
      </c>
      <c r="T48" s="79">
        <v>2020</v>
      </c>
      <c r="U48" s="79">
        <v>2020</v>
      </c>
    </row>
    <row r="49" spans="1:21" ht="15.75">
      <c r="A49" s="79">
        <f t="shared" si="12"/>
        <v>28</v>
      </c>
      <c r="B49" s="191" t="s">
        <v>64</v>
      </c>
      <c r="C49" s="81">
        <v>1949</v>
      </c>
      <c r="D49" s="100"/>
      <c r="E49" s="100"/>
      <c r="F49" s="102">
        <v>7532.3</v>
      </c>
      <c r="G49" s="102">
        <v>5486.8</v>
      </c>
      <c r="H49" s="30">
        <f>I49+J49+K49+L49+M49+N49+O49</f>
        <v>4303713.47</v>
      </c>
      <c r="I49" s="1">
        <f>ROUND(690.32*G49*1.015,2)</f>
        <v>3844462.49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31">
        <v>459250.98</v>
      </c>
      <c r="P49" s="1">
        <v>0</v>
      </c>
      <c r="Q49" s="1">
        <v>0</v>
      </c>
      <c r="R49" s="1">
        <v>0</v>
      </c>
      <c r="S49" s="103">
        <f t="shared" si="11"/>
        <v>4303713.47</v>
      </c>
      <c r="T49" s="79">
        <v>2020</v>
      </c>
      <c r="U49" s="79">
        <v>2020</v>
      </c>
    </row>
    <row r="50" spans="1:21" ht="15.75">
      <c r="A50" s="79">
        <f t="shared" si="12"/>
        <v>29</v>
      </c>
      <c r="B50" s="191" t="s">
        <v>65</v>
      </c>
      <c r="C50" s="81">
        <v>1957</v>
      </c>
      <c r="D50" s="100"/>
      <c r="E50" s="100"/>
      <c r="F50" s="104">
        <v>3634.9</v>
      </c>
      <c r="G50" s="104">
        <v>3301.4</v>
      </c>
      <c r="H50" s="30">
        <f>I50+O50</f>
        <v>2462053.77</v>
      </c>
      <c r="I50" s="1">
        <f>ROUND(690.32*G50*1.015,2)+0.01</f>
        <v>2313207.79</v>
      </c>
      <c r="J50" s="1">
        <v>0</v>
      </c>
      <c r="K50" s="1" t="s">
        <v>59</v>
      </c>
      <c r="L50" s="1">
        <v>0</v>
      </c>
      <c r="M50" s="1">
        <v>0</v>
      </c>
      <c r="N50" s="1">
        <v>0</v>
      </c>
      <c r="O50" s="31">
        <v>148845.98000000001</v>
      </c>
      <c r="P50" s="1">
        <v>0</v>
      </c>
      <c r="Q50" s="1">
        <v>0</v>
      </c>
      <c r="R50" s="1">
        <v>0</v>
      </c>
      <c r="S50" s="103">
        <f t="shared" si="11"/>
        <v>2462053.77</v>
      </c>
      <c r="T50" s="79">
        <v>2020</v>
      </c>
      <c r="U50" s="79">
        <v>2021</v>
      </c>
    </row>
    <row r="51" spans="1:21" ht="15.75">
      <c r="A51" s="79">
        <f t="shared" si="12"/>
        <v>30</v>
      </c>
      <c r="B51" s="191" t="s">
        <v>66</v>
      </c>
      <c r="C51" s="81">
        <v>1958</v>
      </c>
      <c r="D51" s="100"/>
      <c r="E51" s="100"/>
      <c r="F51" s="101">
        <v>4473.1000000000004</v>
      </c>
      <c r="G51" s="102">
        <v>3627.8</v>
      </c>
      <c r="H51" s="30">
        <f>I51+O51</f>
        <v>175905.18</v>
      </c>
      <c r="I51" s="1">
        <v>0</v>
      </c>
      <c r="J51" s="1">
        <v>0</v>
      </c>
      <c r="K51" s="1" t="s">
        <v>59</v>
      </c>
      <c r="L51" s="1">
        <v>0</v>
      </c>
      <c r="M51" s="1">
        <v>0</v>
      </c>
      <c r="N51" s="1">
        <v>0</v>
      </c>
      <c r="O51" s="31">
        <v>175905.18</v>
      </c>
      <c r="P51" s="1">
        <v>0</v>
      </c>
      <c r="Q51" s="1">
        <v>0</v>
      </c>
      <c r="R51" s="1">
        <v>0</v>
      </c>
      <c r="S51" s="103">
        <f t="shared" si="11"/>
        <v>175905.18</v>
      </c>
      <c r="T51" s="79">
        <v>2020</v>
      </c>
      <c r="U51" s="79">
        <v>2020</v>
      </c>
    </row>
    <row r="52" spans="1:21" ht="15.75">
      <c r="A52" s="290" t="s">
        <v>40</v>
      </c>
      <c r="B52" s="290"/>
      <c r="C52" s="81"/>
      <c r="D52" s="79"/>
      <c r="E52" s="79"/>
      <c r="F52" s="27">
        <f t="shared" ref="F52:S52" si="13">SUM(F44:F51)</f>
        <v>36969.199999999997</v>
      </c>
      <c r="G52" s="27">
        <f t="shared" si="13"/>
        <v>30332.27</v>
      </c>
      <c r="H52" s="27">
        <f t="shared" si="13"/>
        <v>64298593.079999998</v>
      </c>
      <c r="I52" s="15">
        <f t="shared" si="13"/>
        <v>6157670.2800000003</v>
      </c>
      <c r="J52" s="15">
        <f t="shared" si="13"/>
        <v>0</v>
      </c>
      <c r="K52" s="15">
        <f t="shared" si="13"/>
        <v>39930301.369999997</v>
      </c>
      <c r="L52" s="15">
        <f t="shared" si="13"/>
        <v>0</v>
      </c>
      <c r="M52" s="15">
        <f t="shared" si="13"/>
        <v>16667686.26</v>
      </c>
      <c r="N52" s="15">
        <f t="shared" si="13"/>
        <v>0</v>
      </c>
      <c r="O52" s="15">
        <f t="shared" si="13"/>
        <v>1542935.17</v>
      </c>
      <c r="P52" s="15">
        <f t="shared" si="13"/>
        <v>0</v>
      </c>
      <c r="Q52" s="15">
        <f t="shared" si="13"/>
        <v>0</v>
      </c>
      <c r="R52" s="15">
        <f t="shared" si="13"/>
        <v>0</v>
      </c>
      <c r="S52" s="27">
        <f t="shared" si="13"/>
        <v>64298593.079999998</v>
      </c>
      <c r="T52" s="16" t="s">
        <v>31</v>
      </c>
      <c r="U52" s="16" t="s">
        <v>31</v>
      </c>
    </row>
    <row r="53" spans="1:21" ht="15.75">
      <c r="A53" s="289" t="s">
        <v>71</v>
      </c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</row>
    <row r="54" spans="1:21" ht="15.75">
      <c r="A54" s="79">
        <f>A51+1</f>
        <v>31</v>
      </c>
      <c r="B54" s="186" t="s">
        <v>72</v>
      </c>
      <c r="C54" s="105">
        <v>1970</v>
      </c>
      <c r="D54" s="79"/>
      <c r="E54" s="106"/>
      <c r="F54" s="12">
        <v>6884.1</v>
      </c>
      <c r="G54" s="12">
        <v>6354.7</v>
      </c>
      <c r="H54" s="1">
        <f>I54+J54+K54+L54+M54+N54+O54</f>
        <v>15201347.08</v>
      </c>
      <c r="I54" s="1">
        <f>(13822276.71+1299674.04)+79396.33</f>
        <v>15201347.08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2713320.58</v>
      </c>
      <c r="S54" s="1">
        <v>12488026.5</v>
      </c>
      <c r="T54" s="79">
        <v>2020</v>
      </c>
      <c r="U54" s="79">
        <v>2020</v>
      </c>
    </row>
    <row r="55" spans="1:21" ht="15.75">
      <c r="A55" s="79">
        <f>A54+1</f>
        <v>32</v>
      </c>
      <c r="B55" s="186" t="s">
        <v>73</v>
      </c>
      <c r="C55" s="105">
        <v>1962</v>
      </c>
      <c r="D55" s="79"/>
      <c r="E55" s="106"/>
      <c r="F55" s="12">
        <v>3538</v>
      </c>
      <c r="G55" s="12">
        <v>3294.7</v>
      </c>
      <c r="H55" s="1">
        <f t="shared" ref="H55:H66" si="14">I55+J55+K55+L55+M55+N55+O55</f>
        <v>8627925.7799999993</v>
      </c>
      <c r="I55" s="1">
        <f>(7108289.12+1472970.94)+46665.72</f>
        <v>8627925.7799999993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1396499.99</v>
      </c>
      <c r="S55" s="1">
        <v>7231425.79</v>
      </c>
      <c r="T55" s="79">
        <v>2020</v>
      </c>
      <c r="U55" s="79">
        <v>2020</v>
      </c>
    </row>
    <row r="56" spans="1:21" ht="15.75">
      <c r="A56" s="79">
        <f t="shared" ref="A56:A67" si="15">A55+1</f>
        <v>33</v>
      </c>
      <c r="B56" s="186" t="s">
        <v>74</v>
      </c>
      <c r="C56" s="105">
        <v>1957</v>
      </c>
      <c r="D56" s="79"/>
      <c r="E56" s="106"/>
      <c r="F56" s="90">
        <v>6714.2</v>
      </c>
      <c r="G56" s="90">
        <v>5981</v>
      </c>
      <c r="H56" s="1">
        <f t="shared" si="14"/>
        <v>16614440.550000001</v>
      </c>
      <c r="I56" s="1">
        <f>(2094868.45+12927808.78+1504359.69)+87403.63</f>
        <v>16614440.550000001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2949176.93</v>
      </c>
      <c r="S56" s="1">
        <v>13665263.619999999</v>
      </c>
      <c r="T56" s="79">
        <v>2020</v>
      </c>
      <c r="U56" s="79">
        <v>2020</v>
      </c>
    </row>
    <row r="57" spans="1:21" ht="15.75">
      <c r="A57" s="79">
        <f t="shared" si="15"/>
        <v>34</v>
      </c>
      <c r="B57" s="186" t="s">
        <v>75</v>
      </c>
      <c r="C57" s="105">
        <v>1966</v>
      </c>
      <c r="D57" s="79"/>
      <c r="E57" s="106"/>
      <c r="F57" s="90">
        <v>3455.3</v>
      </c>
      <c r="G57" s="90">
        <v>3210.5</v>
      </c>
      <c r="H57" s="1">
        <f t="shared" si="14"/>
        <v>8527881.2899999991</v>
      </c>
      <c r="I57" s="1">
        <f>(6934813.75+1593067.54)</f>
        <v>8527881.2899999991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1353532.97</v>
      </c>
      <c r="S57" s="1">
        <v>7174348.3200000003</v>
      </c>
      <c r="T57" s="79">
        <v>2020</v>
      </c>
      <c r="U57" s="79">
        <v>2020</v>
      </c>
    </row>
    <row r="58" spans="1:21" ht="15.75">
      <c r="A58" s="79">
        <f t="shared" si="15"/>
        <v>35</v>
      </c>
      <c r="B58" s="186" t="s">
        <v>76</v>
      </c>
      <c r="C58" s="95">
        <v>1947</v>
      </c>
      <c r="D58" s="89"/>
      <c r="E58" s="89"/>
      <c r="F58" s="107">
        <v>1014.1</v>
      </c>
      <c r="G58" s="107">
        <v>925.5</v>
      </c>
      <c r="H58" s="1">
        <f>I58+J58+K58+L58+M58+N58+O58</f>
        <v>14712908.33</v>
      </c>
      <c r="I58" s="1">
        <f>(361097.13+322791.46+1766106.63+2464188.41)*1.015</f>
        <v>4987896.38</v>
      </c>
      <c r="J58" s="1">
        <v>0</v>
      </c>
      <c r="K58" s="1">
        <v>5500965.8600000003</v>
      </c>
      <c r="L58" s="1">
        <v>0</v>
      </c>
      <c r="M58" s="1">
        <f>1.015*3736303.18</f>
        <v>3792347.73</v>
      </c>
      <c r="N58" s="1">
        <v>0</v>
      </c>
      <c r="O58" s="1">
        <v>431698.36</v>
      </c>
      <c r="P58" s="1">
        <v>0</v>
      </c>
      <c r="Q58" s="1">
        <v>8751345.5800000001</v>
      </c>
      <c r="R58" s="1">
        <v>1497158.75</v>
      </c>
      <c r="S58" s="1">
        <v>4464404</v>
      </c>
      <c r="T58" s="79">
        <v>2020</v>
      </c>
      <c r="U58" s="79">
        <v>2021</v>
      </c>
    </row>
    <row r="59" spans="1:21" ht="15.75">
      <c r="A59" s="79">
        <f t="shared" si="15"/>
        <v>36</v>
      </c>
      <c r="B59" s="186" t="s">
        <v>77</v>
      </c>
      <c r="C59" s="95">
        <v>1961</v>
      </c>
      <c r="D59" s="89"/>
      <c r="E59" s="89"/>
      <c r="F59" s="107">
        <v>2052.9</v>
      </c>
      <c r="G59" s="107">
        <v>1928.1</v>
      </c>
      <c r="H59" s="1">
        <f t="shared" si="14"/>
        <v>2004630.5</v>
      </c>
      <c r="I59" s="1">
        <v>0</v>
      </c>
      <c r="J59" s="1">
        <v>0</v>
      </c>
      <c r="K59" s="1">
        <v>0</v>
      </c>
      <c r="L59" s="1">
        <v>0</v>
      </c>
      <c r="M59" s="1">
        <v>2004630.5</v>
      </c>
      <c r="N59" s="1">
        <v>0</v>
      </c>
      <c r="O59" s="1"/>
      <c r="P59" s="1">
        <v>0</v>
      </c>
      <c r="Q59" s="1">
        <v>0</v>
      </c>
      <c r="R59" s="1">
        <v>966026.15</v>
      </c>
      <c r="S59" s="1">
        <v>1038604.35</v>
      </c>
      <c r="T59" s="79">
        <v>2020</v>
      </c>
      <c r="U59" s="79">
        <v>2020</v>
      </c>
    </row>
    <row r="60" spans="1:21" ht="15.75">
      <c r="A60" s="79">
        <f t="shared" si="15"/>
        <v>37</v>
      </c>
      <c r="B60" s="186" t="s">
        <v>78</v>
      </c>
      <c r="C60" s="95">
        <v>1968</v>
      </c>
      <c r="D60" s="89"/>
      <c r="E60" s="89"/>
      <c r="F60" s="108">
        <v>4063</v>
      </c>
      <c r="G60" s="108">
        <v>3731.6</v>
      </c>
      <c r="H60" s="1">
        <f t="shared" si="14"/>
        <v>411919.2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411919.2</v>
      </c>
      <c r="P60" s="1">
        <v>0</v>
      </c>
      <c r="Q60" s="1">
        <v>0</v>
      </c>
      <c r="R60" s="1">
        <v>77619.05</v>
      </c>
      <c r="S60" s="1">
        <v>334300.15000000002</v>
      </c>
      <c r="T60" s="79">
        <v>2020</v>
      </c>
      <c r="U60" s="79">
        <v>2020</v>
      </c>
    </row>
    <row r="61" spans="1:21" ht="15.75">
      <c r="A61" s="79">
        <f t="shared" si="15"/>
        <v>38</v>
      </c>
      <c r="B61" s="186" t="s">
        <v>79</v>
      </c>
      <c r="C61" s="95">
        <v>1967</v>
      </c>
      <c r="D61" s="89"/>
      <c r="E61" s="89"/>
      <c r="F61" s="108">
        <v>3726.8</v>
      </c>
      <c r="G61" s="108">
        <v>3431.8</v>
      </c>
      <c r="H61" s="1">
        <f t="shared" si="14"/>
        <v>415089.6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415089.6</v>
      </c>
      <c r="P61" s="1">
        <v>0</v>
      </c>
      <c r="Q61" s="1">
        <v>0</v>
      </c>
      <c r="R61" s="1">
        <v>78216.460000000006</v>
      </c>
      <c r="S61" s="1">
        <v>336873.14</v>
      </c>
      <c r="T61" s="79">
        <v>2020</v>
      </c>
      <c r="U61" s="79">
        <v>2020</v>
      </c>
    </row>
    <row r="62" spans="1:21" ht="15.75">
      <c r="A62" s="79">
        <f t="shared" si="15"/>
        <v>39</v>
      </c>
      <c r="B62" s="186" t="s">
        <v>80</v>
      </c>
      <c r="C62" s="95">
        <v>1970</v>
      </c>
      <c r="D62" s="89"/>
      <c r="E62" s="89"/>
      <c r="F62" s="108">
        <v>5219.2</v>
      </c>
      <c r="G62" s="108">
        <v>4823.1000000000004</v>
      </c>
      <c r="H62" s="1">
        <f t="shared" si="14"/>
        <v>444331.2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444331.2</v>
      </c>
      <c r="P62" s="1">
        <v>0</v>
      </c>
      <c r="Q62" s="1">
        <v>0</v>
      </c>
      <c r="R62" s="1">
        <v>83726.53</v>
      </c>
      <c r="S62" s="1">
        <v>360604.67</v>
      </c>
      <c r="T62" s="79">
        <v>2020</v>
      </c>
      <c r="U62" s="79">
        <v>2020</v>
      </c>
    </row>
    <row r="63" spans="1:21" ht="15.75">
      <c r="A63" s="79">
        <f t="shared" si="15"/>
        <v>40</v>
      </c>
      <c r="B63" s="186" t="s">
        <v>81</v>
      </c>
      <c r="C63" s="95">
        <v>1939</v>
      </c>
      <c r="D63" s="89"/>
      <c r="E63" s="89"/>
      <c r="F63" s="108">
        <v>2807.9</v>
      </c>
      <c r="G63" s="108">
        <v>2535.1999999999998</v>
      </c>
      <c r="H63" s="1">
        <f t="shared" si="14"/>
        <v>319677.59999999998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319677.59999999998</v>
      </c>
      <c r="P63" s="1">
        <v>0</v>
      </c>
      <c r="Q63" s="1">
        <v>0</v>
      </c>
      <c r="R63" s="1">
        <v>0</v>
      </c>
      <c r="S63" s="1">
        <v>319677.59999999998</v>
      </c>
      <c r="T63" s="79">
        <v>2020</v>
      </c>
      <c r="U63" s="79">
        <v>2020</v>
      </c>
    </row>
    <row r="64" spans="1:21" ht="15.75">
      <c r="A64" s="79">
        <f t="shared" si="15"/>
        <v>41</v>
      </c>
      <c r="B64" s="186" t="s">
        <v>82</v>
      </c>
      <c r="C64" s="95">
        <v>1961</v>
      </c>
      <c r="D64" s="89"/>
      <c r="E64" s="89"/>
      <c r="F64" s="108">
        <v>3117.1</v>
      </c>
      <c r="G64" s="108">
        <v>2927.5</v>
      </c>
      <c r="H64" s="1">
        <f t="shared" si="14"/>
        <v>7875999.29</v>
      </c>
      <c r="I64" s="1">
        <v>0</v>
      </c>
      <c r="J64" s="1">
        <v>0</v>
      </c>
      <c r="K64" s="1">
        <f>7875999.29</f>
        <v>7875999.29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7875999.29</v>
      </c>
      <c r="T64" s="79">
        <v>2020</v>
      </c>
      <c r="U64" s="79">
        <v>2020</v>
      </c>
    </row>
    <row r="65" spans="1:21" ht="15.75">
      <c r="A65" s="79">
        <f t="shared" si="15"/>
        <v>42</v>
      </c>
      <c r="B65" s="186" t="s">
        <v>83</v>
      </c>
      <c r="C65" s="95">
        <v>1948</v>
      </c>
      <c r="D65" s="89"/>
      <c r="E65" s="89"/>
      <c r="F65" s="108">
        <v>1134.4000000000001</v>
      </c>
      <c r="G65" s="108">
        <v>1036.5</v>
      </c>
      <c r="H65" s="1">
        <f t="shared" si="14"/>
        <v>6165657.5599999996</v>
      </c>
      <c r="I65" s="1">
        <v>0</v>
      </c>
      <c r="J65" s="1">
        <v>0</v>
      </c>
      <c r="K65" s="1">
        <v>6165657.5599999996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1162418.52</v>
      </c>
      <c r="S65" s="1">
        <v>5003239.04</v>
      </c>
      <c r="T65" s="79">
        <v>2020</v>
      </c>
      <c r="U65" s="79">
        <v>2020</v>
      </c>
    </row>
    <row r="66" spans="1:21" ht="15.75">
      <c r="A66" s="79">
        <f t="shared" si="15"/>
        <v>43</v>
      </c>
      <c r="B66" s="186" t="s">
        <v>84</v>
      </c>
      <c r="C66" s="95">
        <v>1948</v>
      </c>
      <c r="D66" s="89"/>
      <c r="E66" s="89"/>
      <c r="F66" s="108">
        <v>1023.6</v>
      </c>
      <c r="G66" s="108">
        <v>933.8</v>
      </c>
      <c r="H66" s="1">
        <f t="shared" si="14"/>
        <v>5547201.4400000004</v>
      </c>
      <c r="I66" s="1">
        <v>0</v>
      </c>
      <c r="J66" s="1">
        <v>0</v>
      </c>
      <c r="K66" s="1">
        <f>5547201.44</f>
        <v>5547201.4400000004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1045274.16</v>
      </c>
      <c r="S66" s="1">
        <v>4501927.28</v>
      </c>
      <c r="T66" s="79">
        <v>2020</v>
      </c>
      <c r="U66" s="79">
        <v>2020</v>
      </c>
    </row>
    <row r="67" spans="1:21" ht="15.75">
      <c r="A67" s="79">
        <f t="shared" si="15"/>
        <v>44</v>
      </c>
      <c r="B67" s="186" t="s">
        <v>85</v>
      </c>
      <c r="C67" s="95">
        <v>1965</v>
      </c>
      <c r="D67" s="89"/>
      <c r="E67" s="89"/>
      <c r="F67" s="108">
        <v>3472.7</v>
      </c>
      <c r="G67" s="108">
        <v>3227.5</v>
      </c>
      <c r="H67" s="1">
        <f>I67+J67+K67+L67+M67+N67+O67</f>
        <v>9571293.8599999994</v>
      </c>
      <c r="I67" s="1">
        <f>9429846.17+141447.69</f>
        <v>9571293.8599999994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9092729.4199999999</v>
      </c>
      <c r="R67" s="1">
        <v>478564.44</v>
      </c>
      <c r="S67" s="1"/>
      <c r="T67" s="79">
        <v>2020</v>
      </c>
      <c r="U67" s="79">
        <v>2021</v>
      </c>
    </row>
    <row r="68" spans="1:21" ht="15.75">
      <c r="A68" s="290" t="s">
        <v>40</v>
      </c>
      <c r="B68" s="290"/>
      <c r="C68" s="81"/>
      <c r="D68" s="79"/>
      <c r="E68" s="79"/>
      <c r="F68" s="15">
        <f>SUM(F54:F67)</f>
        <v>48223.3</v>
      </c>
      <c r="G68" s="27">
        <f>SUM(G54:G67)</f>
        <v>44341.5</v>
      </c>
      <c r="H68" s="15">
        <f>SUM(H54:H67)</f>
        <v>96440303.280000001</v>
      </c>
      <c r="I68" s="15">
        <f>SUM(I54:I67)</f>
        <v>63530784.939999998</v>
      </c>
      <c r="J68" s="15">
        <v>0</v>
      </c>
      <c r="K68" s="15">
        <f>SUM(K54:K67)</f>
        <v>25089824.149999999</v>
      </c>
      <c r="L68" s="15">
        <f>SUM(L54:L67)</f>
        <v>0</v>
      </c>
      <c r="M68" s="15">
        <f>SUM(M54:M67)</f>
        <v>5796978.2300000004</v>
      </c>
      <c r="N68" s="15"/>
      <c r="O68" s="15">
        <f>SUM(O54:O67)</f>
        <v>2022715.96</v>
      </c>
      <c r="P68" s="15">
        <f>SUM(P54:P67)</f>
        <v>0</v>
      </c>
      <c r="Q68" s="15">
        <f>SUM(Q54:Q67)</f>
        <v>17844075</v>
      </c>
      <c r="R68" s="15">
        <f>SUM(R54:R67)</f>
        <v>13801534.529999999</v>
      </c>
      <c r="S68" s="15">
        <f>SUM(S54:S67)</f>
        <v>64794693.75</v>
      </c>
      <c r="T68" s="16" t="s">
        <v>31</v>
      </c>
      <c r="U68" s="16" t="s">
        <v>31</v>
      </c>
    </row>
    <row r="69" spans="1:21" ht="15.75" customHeight="1">
      <c r="A69" s="308" t="s">
        <v>409</v>
      </c>
      <c r="B69" s="309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10"/>
    </row>
    <row r="70" spans="1:21" ht="15.75">
      <c r="A70" s="79">
        <f>A67+1</f>
        <v>45</v>
      </c>
      <c r="B70" s="186" t="s">
        <v>86</v>
      </c>
      <c r="C70" s="81">
        <v>1952</v>
      </c>
      <c r="D70" s="79"/>
      <c r="E70" s="79"/>
      <c r="F70" s="109">
        <v>3581.6</v>
      </c>
      <c r="G70" s="109">
        <v>3289.2</v>
      </c>
      <c r="H70" s="1">
        <f>I70+J70+K70+L70+M70+N70+O70</f>
        <v>8826192.7400000002</v>
      </c>
      <c r="I70" s="1">
        <v>0</v>
      </c>
      <c r="J70" s="1">
        <v>0</v>
      </c>
      <c r="K70" s="1">
        <f>ROUND(2604.66*G70*1.015,2)</f>
        <v>8695756.3900000006</v>
      </c>
      <c r="L70" s="1">
        <v>0</v>
      </c>
      <c r="M70" s="1">
        <v>0</v>
      </c>
      <c r="N70" s="1">
        <v>0</v>
      </c>
      <c r="O70" s="1">
        <f>ROUND(K70*1.5%,2)</f>
        <v>130436.35</v>
      </c>
      <c r="P70" s="1">
        <v>0</v>
      </c>
      <c r="Q70" s="1">
        <f>I70*99%</f>
        <v>0</v>
      </c>
      <c r="R70" s="1">
        <v>0</v>
      </c>
      <c r="S70" s="1">
        <v>8826192.7400000002</v>
      </c>
      <c r="T70" s="79">
        <v>2020</v>
      </c>
      <c r="U70" s="79">
        <v>2022</v>
      </c>
    </row>
    <row r="71" spans="1:21" ht="15.75">
      <c r="A71" s="79">
        <f>A70+1</f>
        <v>46</v>
      </c>
      <c r="B71" s="186" t="s">
        <v>87</v>
      </c>
      <c r="C71" s="81">
        <v>1993</v>
      </c>
      <c r="D71" s="79"/>
      <c r="E71" s="79"/>
      <c r="F71" s="109">
        <v>2940.1</v>
      </c>
      <c r="G71" s="109">
        <v>2670.1</v>
      </c>
      <c r="H71" s="1">
        <f>I71+J71+K71+L71+M71+N71+O71</f>
        <v>1016324.71</v>
      </c>
      <c r="I71" s="1">
        <v>961324.71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55000</v>
      </c>
      <c r="P71" s="1">
        <v>0</v>
      </c>
      <c r="Q71" s="1">
        <v>1016324.71</v>
      </c>
      <c r="R71" s="1">
        <v>0</v>
      </c>
      <c r="S71" s="1">
        <v>0</v>
      </c>
      <c r="T71" s="79">
        <v>2020</v>
      </c>
      <c r="U71" s="79">
        <v>2021</v>
      </c>
    </row>
    <row r="72" spans="1:21" ht="15.75">
      <c r="A72" s="79">
        <f t="shared" ref="A72:A135" si="16">A71+1</f>
        <v>47</v>
      </c>
      <c r="B72" s="186" t="s">
        <v>88</v>
      </c>
      <c r="C72" s="81">
        <v>1960</v>
      </c>
      <c r="D72" s="79"/>
      <c r="E72" s="79"/>
      <c r="F72" s="109">
        <v>2660.1</v>
      </c>
      <c r="G72" s="109">
        <v>259.7</v>
      </c>
      <c r="H72" s="1">
        <f>I72+J72+K72+L72+M72+N72+O72</f>
        <v>1016324.71</v>
      </c>
      <c r="I72" s="1">
        <v>961324.71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55000</v>
      </c>
      <c r="P72" s="1">
        <v>0</v>
      </c>
      <c r="Q72" s="1">
        <v>1016324.71</v>
      </c>
      <c r="R72" s="1">
        <v>0</v>
      </c>
      <c r="S72" s="1">
        <v>0</v>
      </c>
      <c r="T72" s="79">
        <v>2020</v>
      </c>
      <c r="U72" s="79">
        <v>2021</v>
      </c>
    </row>
    <row r="73" spans="1:21" ht="15.75">
      <c r="A73" s="79">
        <f t="shared" si="16"/>
        <v>48</v>
      </c>
      <c r="B73" s="186" t="s">
        <v>89</v>
      </c>
      <c r="C73" s="81">
        <v>1967</v>
      </c>
      <c r="D73" s="79"/>
      <c r="E73" s="79"/>
      <c r="F73" s="109">
        <v>2673.6</v>
      </c>
      <c r="G73" s="109">
        <v>2673.6</v>
      </c>
      <c r="H73" s="1">
        <f>I73+J73+K73+L73+M73+N73+O73</f>
        <v>1016324.71</v>
      </c>
      <c r="I73" s="1">
        <v>961324.71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55000</v>
      </c>
      <c r="P73" s="1">
        <v>0</v>
      </c>
      <c r="Q73" s="1">
        <v>1016324.71</v>
      </c>
      <c r="R73" s="1">
        <v>0</v>
      </c>
      <c r="S73" s="1">
        <v>0</v>
      </c>
      <c r="T73" s="79">
        <v>2020</v>
      </c>
      <c r="U73" s="79">
        <v>2021</v>
      </c>
    </row>
    <row r="74" spans="1:21" ht="15.75">
      <c r="A74" s="79">
        <f>A73+1</f>
        <v>49</v>
      </c>
      <c r="B74" s="186" t="s">
        <v>90</v>
      </c>
      <c r="C74" s="81">
        <v>1960</v>
      </c>
      <c r="D74" s="79"/>
      <c r="E74" s="79"/>
      <c r="F74" s="109">
        <v>1605.3</v>
      </c>
      <c r="G74" s="109">
        <v>1605.3</v>
      </c>
      <c r="H74" s="1">
        <f t="shared" ref="H74:H143" si="17">I74+J74+K74+L74+M74+N74+O74</f>
        <v>4568990.8</v>
      </c>
      <c r="I74" s="1">
        <v>0</v>
      </c>
      <c r="J74" s="1">
        <v>0</v>
      </c>
      <c r="K74" s="1">
        <v>0</v>
      </c>
      <c r="L74" s="1">
        <v>0</v>
      </c>
      <c r="M74" s="1">
        <f>ROUND(2698.79*G74*1.015,2)</f>
        <v>4397353.0999999996</v>
      </c>
      <c r="N74" s="1">
        <v>0</v>
      </c>
      <c r="O74" s="1">
        <v>171637.7</v>
      </c>
      <c r="P74" s="1">
        <v>0</v>
      </c>
      <c r="Q74" s="1">
        <v>0</v>
      </c>
      <c r="R74" s="1">
        <v>0</v>
      </c>
      <c r="S74" s="1">
        <f>H74</f>
        <v>4568990.8</v>
      </c>
      <c r="T74" s="79">
        <v>2020</v>
      </c>
      <c r="U74" s="79">
        <v>2022</v>
      </c>
    </row>
    <row r="75" spans="1:21" ht="15.75">
      <c r="A75" s="79">
        <f t="shared" si="16"/>
        <v>50</v>
      </c>
      <c r="B75" s="186" t="s">
        <v>91</v>
      </c>
      <c r="C75" s="81">
        <v>1968</v>
      </c>
      <c r="D75" s="79"/>
      <c r="E75" s="79"/>
      <c r="F75" s="110">
        <v>3592.7</v>
      </c>
      <c r="G75" s="110">
        <v>3650.3</v>
      </c>
      <c r="H75" s="1">
        <f t="shared" si="17"/>
        <v>3037801.66</v>
      </c>
      <c r="I75" s="1">
        <v>0</v>
      </c>
      <c r="J75" s="1">
        <f>3037801.66*1-O75</f>
        <v>2961856.62</v>
      </c>
      <c r="K75" s="1">
        <v>0</v>
      </c>
      <c r="L75" s="1">
        <v>0</v>
      </c>
      <c r="M75" s="1">
        <v>0</v>
      </c>
      <c r="N75" s="1">
        <v>0</v>
      </c>
      <c r="O75" s="1">
        <v>75945.039999999994</v>
      </c>
      <c r="P75" s="1">
        <v>0</v>
      </c>
      <c r="Q75" s="1">
        <v>0</v>
      </c>
      <c r="R75" s="1">
        <v>0</v>
      </c>
      <c r="S75" s="1">
        <f>H75</f>
        <v>3037801.66</v>
      </c>
      <c r="T75" s="79">
        <v>2020</v>
      </c>
      <c r="U75" s="79">
        <v>2022</v>
      </c>
    </row>
    <row r="76" spans="1:21" ht="15.75">
      <c r="A76" s="79">
        <f t="shared" si="16"/>
        <v>51</v>
      </c>
      <c r="B76" s="186" t="s">
        <v>92</v>
      </c>
      <c r="C76" s="81">
        <v>1950</v>
      </c>
      <c r="D76" s="79"/>
      <c r="E76" s="79"/>
      <c r="F76" s="110">
        <v>1495.9</v>
      </c>
      <c r="G76" s="110">
        <v>1294</v>
      </c>
      <c r="H76" s="1">
        <f>I76+J76+K76+L76+M76+N76+O76</f>
        <v>1016324.71</v>
      </c>
      <c r="I76" s="1">
        <v>961324.71</v>
      </c>
      <c r="J76" s="1"/>
      <c r="K76" s="1">
        <v>0</v>
      </c>
      <c r="L76" s="1">
        <v>0</v>
      </c>
      <c r="M76" s="1">
        <v>0</v>
      </c>
      <c r="N76" s="1">
        <v>0</v>
      </c>
      <c r="O76" s="1">
        <v>55000</v>
      </c>
      <c r="P76" s="1">
        <v>0</v>
      </c>
      <c r="Q76" s="1">
        <v>1016324.71</v>
      </c>
      <c r="R76" s="1">
        <v>0</v>
      </c>
      <c r="S76" s="1">
        <v>0</v>
      </c>
      <c r="T76" s="79">
        <v>2020</v>
      </c>
      <c r="U76" s="79">
        <v>2021</v>
      </c>
    </row>
    <row r="77" spans="1:21" ht="15.75">
      <c r="A77" s="79">
        <f t="shared" si="16"/>
        <v>52</v>
      </c>
      <c r="B77" s="186" t="s">
        <v>93</v>
      </c>
      <c r="C77" s="81">
        <v>1974</v>
      </c>
      <c r="D77" s="79"/>
      <c r="E77" s="79"/>
      <c r="F77" s="109">
        <v>4465.3</v>
      </c>
      <c r="G77" s="109">
        <v>3816.3</v>
      </c>
      <c r="H77" s="1">
        <f t="shared" si="17"/>
        <v>4800000</v>
      </c>
      <c r="I77" s="1">
        <v>0</v>
      </c>
      <c r="J77" s="1">
        <f t="shared" ref="J77:J82" si="18">2*2400000</f>
        <v>4800000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f t="shared" ref="Q77:Q86" si="19">J77*20%</f>
        <v>960000</v>
      </c>
      <c r="R77" s="1">
        <v>0</v>
      </c>
      <c r="S77" s="1">
        <f t="shared" ref="S77:S86" si="20">J77*80%</f>
        <v>3840000</v>
      </c>
      <c r="T77" s="79">
        <v>2020</v>
      </c>
      <c r="U77" s="79">
        <v>2022</v>
      </c>
    </row>
    <row r="78" spans="1:21" ht="15.75">
      <c r="A78" s="79">
        <f t="shared" si="16"/>
        <v>53</v>
      </c>
      <c r="B78" s="186" t="s">
        <v>94</v>
      </c>
      <c r="C78" s="81">
        <v>1976</v>
      </c>
      <c r="D78" s="79"/>
      <c r="E78" s="79"/>
      <c r="F78" s="109">
        <v>4545.7</v>
      </c>
      <c r="G78" s="111">
        <v>3887</v>
      </c>
      <c r="H78" s="1">
        <f t="shared" si="17"/>
        <v>4800000</v>
      </c>
      <c r="I78" s="1">
        <v>0</v>
      </c>
      <c r="J78" s="1">
        <f t="shared" si="18"/>
        <v>4800000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f t="shared" si="19"/>
        <v>960000</v>
      </c>
      <c r="R78" s="1">
        <v>0</v>
      </c>
      <c r="S78" s="1">
        <f t="shared" si="20"/>
        <v>3840000</v>
      </c>
      <c r="T78" s="79">
        <v>2020</v>
      </c>
      <c r="U78" s="79">
        <v>2022</v>
      </c>
    </row>
    <row r="79" spans="1:21" ht="15.75">
      <c r="A79" s="79">
        <f t="shared" si="16"/>
        <v>54</v>
      </c>
      <c r="B79" s="186" t="s">
        <v>95</v>
      </c>
      <c r="C79" s="81">
        <v>1976</v>
      </c>
      <c r="D79" s="79"/>
      <c r="E79" s="79"/>
      <c r="F79" s="109">
        <v>4452.8999999999996</v>
      </c>
      <c r="G79" s="109">
        <v>3824.1</v>
      </c>
      <c r="H79" s="1">
        <f t="shared" si="17"/>
        <v>4800000</v>
      </c>
      <c r="I79" s="1">
        <v>0</v>
      </c>
      <c r="J79" s="1">
        <f t="shared" si="18"/>
        <v>4800000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f>J79*20%</f>
        <v>960000</v>
      </c>
      <c r="R79" s="1">
        <v>0</v>
      </c>
      <c r="S79" s="1">
        <f t="shared" si="20"/>
        <v>3840000</v>
      </c>
      <c r="T79" s="79">
        <v>2020</v>
      </c>
      <c r="U79" s="79">
        <v>2022</v>
      </c>
    </row>
    <row r="80" spans="1:21" ht="15.75">
      <c r="A80" s="79">
        <f t="shared" si="16"/>
        <v>55</v>
      </c>
      <c r="B80" s="186" t="s">
        <v>96</v>
      </c>
      <c r="C80" s="81">
        <v>1975</v>
      </c>
      <c r="D80" s="79"/>
      <c r="E80" s="79"/>
      <c r="F80" s="109">
        <v>4492</v>
      </c>
      <c r="G80" s="109">
        <v>3853.2</v>
      </c>
      <c r="H80" s="1">
        <f t="shared" si="17"/>
        <v>4800000</v>
      </c>
      <c r="I80" s="1">
        <v>0</v>
      </c>
      <c r="J80" s="1">
        <f t="shared" si="18"/>
        <v>4800000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f t="shared" si="19"/>
        <v>960000</v>
      </c>
      <c r="R80" s="1">
        <v>0</v>
      </c>
      <c r="S80" s="1">
        <f t="shared" si="20"/>
        <v>3840000</v>
      </c>
      <c r="T80" s="79">
        <v>2020</v>
      </c>
      <c r="U80" s="79">
        <v>2022</v>
      </c>
    </row>
    <row r="81" spans="1:21" ht="15.75">
      <c r="A81" s="79">
        <f t="shared" si="16"/>
        <v>56</v>
      </c>
      <c r="B81" s="186" t="s">
        <v>97</v>
      </c>
      <c r="C81" s="81">
        <v>1976</v>
      </c>
      <c r="D81" s="79"/>
      <c r="E81" s="79"/>
      <c r="F81" s="109">
        <v>6054.7</v>
      </c>
      <c r="G81" s="109">
        <v>5129.7</v>
      </c>
      <c r="H81" s="1">
        <f t="shared" si="17"/>
        <v>4800000</v>
      </c>
      <c r="I81" s="1">
        <v>0</v>
      </c>
      <c r="J81" s="1">
        <f t="shared" si="18"/>
        <v>4800000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f t="shared" si="19"/>
        <v>960000</v>
      </c>
      <c r="R81" s="1">
        <v>0</v>
      </c>
      <c r="S81" s="1">
        <f t="shared" si="20"/>
        <v>3840000</v>
      </c>
      <c r="T81" s="79">
        <v>2020</v>
      </c>
      <c r="U81" s="79">
        <v>2022</v>
      </c>
    </row>
    <row r="82" spans="1:21" ht="15.75">
      <c r="A82" s="79">
        <f t="shared" si="16"/>
        <v>57</v>
      </c>
      <c r="B82" s="186" t="s">
        <v>98</v>
      </c>
      <c r="C82" s="81">
        <v>1975</v>
      </c>
      <c r="D82" s="79"/>
      <c r="E82" s="79"/>
      <c r="F82" s="109">
        <v>6072.6</v>
      </c>
      <c r="G82" s="109">
        <v>5149</v>
      </c>
      <c r="H82" s="1">
        <f t="shared" si="17"/>
        <v>4800000</v>
      </c>
      <c r="I82" s="1">
        <v>0</v>
      </c>
      <c r="J82" s="1">
        <f t="shared" si="18"/>
        <v>4800000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f t="shared" si="19"/>
        <v>960000</v>
      </c>
      <c r="R82" s="1">
        <v>0</v>
      </c>
      <c r="S82" s="1">
        <f t="shared" si="20"/>
        <v>3840000</v>
      </c>
      <c r="T82" s="79">
        <v>2020</v>
      </c>
      <c r="U82" s="79">
        <v>2022</v>
      </c>
    </row>
    <row r="83" spans="1:21" ht="15.75">
      <c r="A83" s="79">
        <f t="shared" si="16"/>
        <v>58</v>
      </c>
      <c r="B83" s="186" t="s">
        <v>99</v>
      </c>
      <c r="C83" s="81">
        <v>1976</v>
      </c>
      <c r="D83" s="79"/>
      <c r="E83" s="79"/>
      <c r="F83" s="109">
        <v>1922.7</v>
      </c>
      <c r="G83" s="109">
        <v>1213.5</v>
      </c>
      <c r="H83" s="1">
        <f t="shared" si="17"/>
        <v>2400000</v>
      </c>
      <c r="I83" s="1">
        <v>0</v>
      </c>
      <c r="J83" s="1">
        <f>1*2400000</f>
        <v>2400000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f t="shared" si="19"/>
        <v>480000</v>
      </c>
      <c r="R83" s="1">
        <v>0</v>
      </c>
      <c r="S83" s="1">
        <f t="shared" si="20"/>
        <v>1920000</v>
      </c>
      <c r="T83" s="79">
        <v>2020</v>
      </c>
      <c r="U83" s="79">
        <v>2022</v>
      </c>
    </row>
    <row r="84" spans="1:21" ht="15.75">
      <c r="A84" s="79">
        <f t="shared" si="16"/>
        <v>59</v>
      </c>
      <c r="B84" s="186" t="s">
        <v>100</v>
      </c>
      <c r="C84" s="81">
        <v>1975</v>
      </c>
      <c r="D84" s="79"/>
      <c r="E84" s="79"/>
      <c r="F84" s="109">
        <v>1899.4</v>
      </c>
      <c r="G84" s="109">
        <v>1223.4000000000001</v>
      </c>
      <c r="H84" s="1">
        <f t="shared" si="17"/>
        <v>2400000</v>
      </c>
      <c r="I84" s="1">
        <v>0</v>
      </c>
      <c r="J84" s="1">
        <f>1*2400000</f>
        <v>2400000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f t="shared" si="19"/>
        <v>480000</v>
      </c>
      <c r="R84" s="1">
        <v>0</v>
      </c>
      <c r="S84" s="1">
        <f t="shared" si="20"/>
        <v>1920000</v>
      </c>
      <c r="T84" s="79">
        <v>2020</v>
      </c>
      <c r="U84" s="79">
        <v>2022</v>
      </c>
    </row>
    <row r="85" spans="1:21" ht="15.75">
      <c r="A85" s="79">
        <f t="shared" si="16"/>
        <v>60</v>
      </c>
      <c r="B85" s="186" t="s">
        <v>101</v>
      </c>
      <c r="C85" s="81">
        <v>1976</v>
      </c>
      <c r="D85" s="79"/>
      <c r="E85" s="79"/>
      <c r="F85" s="109">
        <v>1898.6</v>
      </c>
      <c r="G85" s="109">
        <v>1213.5</v>
      </c>
      <c r="H85" s="1">
        <f t="shared" si="17"/>
        <v>2400000</v>
      </c>
      <c r="I85" s="1">
        <v>0</v>
      </c>
      <c r="J85" s="1">
        <f>1*2400000</f>
        <v>2400000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f t="shared" si="19"/>
        <v>480000</v>
      </c>
      <c r="R85" s="1">
        <v>0</v>
      </c>
      <c r="S85" s="1">
        <f t="shared" si="20"/>
        <v>1920000</v>
      </c>
      <c r="T85" s="79">
        <v>2020</v>
      </c>
      <c r="U85" s="79">
        <v>2022</v>
      </c>
    </row>
    <row r="86" spans="1:21" ht="15.75">
      <c r="A86" s="79">
        <f t="shared" si="16"/>
        <v>61</v>
      </c>
      <c r="B86" s="186" t="s">
        <v>102</v>
      </c>
      <c r="C86" s="81">
        <v>1976</v>
      </c>
      <c r="D86" s="79"/>
      <c r="E86" s="79"/>
      <c r="F86" s="109">
        <v>4430.7</v>
      </c>
      <c r="G86" s="109">
        <v>3624.8</v>
      </c>
      <c r="H86" s="1">
        <f t="shared" si="17"/>
        <v>4800000</v>
      </c>
      <c r="I86" s="1">
        <v>0</v>
      </c>
      <c r="J86" s="1">
        <f>2*2400000</f>
        <v>4800000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f t="shared" si="19"/>
        <v>960000</v>
      </c>
      <c r="R86" s="1">
        <v>0</v>
      </c>
      <c r="S86" s="1">
        <f t="shared" si="20"/>
        <v>3840000</v>
      </c>
      <c r="T86" s="79">
        <v>2020</v>
      </c>
      <c r="U86" s="79">
        <v>2022</v>
      </c>
    </row>
    <row r="87" spans="1:21" ht="15.75">
      <c r="A87" s="79">
        <f t="shared" si="16"/>
        <v>62</v>
      </c>
      <c r="B87" s="186" t="s">
        <v>103</v>
      </c>
      <c r="C87" s="81">
        <v>1978</v>
      </c>
      <c r="D87" s="79"/>
      <c r="E87" s="79"/>
      <c r="F87" s="110">
        <v>12387.3</v>
      </c>
      <c r="G87" s="110">
        <v>10883.1</v>
      </c>
      <c r="H87" s="1">
        <f t="shared" si="17"/>
        <v>7200000</v>
      </c>
      <c r="I87" s="1">
        <v>0</v>
      </c>
      <c r="J87" s="1">
        <f>3*2400000</f>
        <v>7200000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f>J87*20%+I87*99%</f>
        <v>1440000</v>
      </c>
      <c r="R87" s="1">
        <v>0</v>
      </c>
      <c r="S87" s="1">
        <f>J87*80%+I87*1%</f>
        <v>5760000</v>
      </c>
      <c r="T87" s="79">
        <v>2020</v>
      </c>
      <c r="U87" s="79">
        <v>2022</v>
      </c>
    </row>
    <row r="88" spans="1:21" ht="15.75">
      <c r="A88" s="79">
        <f t="shared" si="16"/>
        <v>63</v>
      </c>
      <c r="B88" s="186" t="s">
        <v>104</v>
      </c>
      <c r="C88" s="81">
        <v>1978</v>
      </c>
      <c r="D88" s="79"/>
      <c r="E88" s="79"/>
      <c r="F88" s="109">
        <v>12387.3</v>
      </c>
      <c r="G88" s="109">
        <v>11331.6</v>
      </c>
      <c r="H88" s="1">
        <f t="shared" si="17"/>
        <v>9600000</v>
      </c>
      <c r="I88" s="1">
        <v>0</v>
      </c>
      <c r="J88" s="1">
        <f>4*2400000</f>
        <v>9600000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f>J88*20%</f>
        <v>1920000</v>
      </c>
      <c r="R88" s="1">
        <v>0</v>
      </c>
      <c r="S88" s="1">
        <f>J88*80%</f>
        <v>7680000</v>
      </c>
      <c r="T88" s="79">
        <v>2020</v>
      </c>
      <c r="U88" s="79">
        <v>2022</v>
      </c>
    </row>
    <row r="89" spans="1:21" ht="15.75">
      <c r="A89" s="79">
        <f t="shared" si="16"/>
        <v>64</v>
      </c>
      <c r="B89" s="186" t="s">
        <v>105</v>
      </c>
      <c r="C89" s="81">
        <v>1981</v>
      </c>
      <c r="D89" s="79"/>
      <c r="E89" s="79"/>
      <c r="F89" s="109">
        <v>2758.6</v>
      </c>
      <c r="G89" s="109">
        <v>2430.8000000000002</v>
      </c>
      <c r="H89" s="1">
        <f t="shared" si="17"/>
        <v>2400000</v>
      </c>
      <c r="I89" s="1">
        <v>0</v>
      </c>
      <c r="J89" s="1">
        <f>1*2400000</f>
        <v>2400000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f>J89*20%+I89*99%</f>
        <v>480000</v>
      </c>
      <c r="R89" s="1">
        <v>0</v>
      </c>
      <c r="S89" s="1">
        <f>J89*80%+I89*1%</f>
        <v>1920000</v>
      </c>
      <c r="T89" s="79">
        <v>2020</v>
      </c>
      <c r="U89" s="79">
        <v>2022</v>
      </c>
    </row>
    <row r="90" spans="1:21" ht="15.75">
      <c r="A90" s="79">
        <f t="shared" si="16"/>
        <v>65</v>
      </c>
      <c r="B90" s="186" t="s">
        <v>106</v>
      </c>
      <c r="C90" s="81">
        <v>1981</v>
      </c>
      <c r="D90" s="79"/>
      <c r="E90" s="79"/>
      <c r="F90" s="109">
        <v>11891.7</v>
      </c>
      <c r="G90" s="110">
        <v>10351.9</v>
      </c>
      <c r="H90" s="1">
        <f t="shared" si="17"/>
        <v>12000000</v>
      </c>
      <c r="I90" s="1">
        <v>0</v>
      </c>
      <c r="J90" s="1">
        <f>5*2400000</f>
        <v>12000000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f>J90*20%+I90*99%</f>
        <v>2400000</v>
      </c>
      <c r="R90" s="1">
        <v>0</v>
      </c>
      <c r="S90" s="1">
        <f>J90*80%+I90*1%</f>
        <v>9600000</v>
      </c>
      <c r="T90" s="79">
        <v>2020</v>
      </c>
      <c r="U90" s="79">
        <v>2022</v>
      </c>
    </row>
    <row r="91" spans="1:21" ht="15.75">
      <c r="A91" s="79">
        <f t="shared" si="16"/>
        <v>66</v>
      </c>
      <c r="B91" s="186" t="s">
        <v>107</v>
      </c>
      <c r="C91" s="81">
        <v>1977</v>
      </c>
      <c r="D91" s="79"/>
      <c r="E91" s="79"/>
      <c r="F91" s="109">
        <v>4791.8</v>
      </c>
      <c r="G91" s="109">
        <v>4166.3999999999996</v>
      </c>
      <c r="H91" s="1">
        <f t="shared" si="17"/>
        <v>4800000</v>
      </c>
      <c r="I91" s="1">
        <v>0</v>
      </c>
      <c r="J91" s="1">
        <f>2*2400000</f>
        <v>4800000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f t="shared" ref="Q91:Q104" si="21">J91*20%</f>
        <v>960000</v>
      </c>
      <c r="R91" s="1">
        <v>0</v>
      </c>
      <c r="S91" s="1">
        <f t="shared" ref="S91:S104" si="22">J91*80%</f>
        <v>3840000</v>
      </c>
      <c r="T91" s="79">
        <v>2020</v>
      </c>
      <c r="U91" s="79">
        <v>2022</v>
      </c>
    </row>
    <row r="92" spans="1:21" ht="15.75">
      <c r="A92" s="79">
        <f t="shared" si="16"/>
        <v>67</v>
      </c>
      <c r="B92" s="186" t="s">
        <v>108</v>
      </c>
      <c r="C92" s="81">
        <v>1979</v>
      </c>
      <c r="D92" s="79"/>
      <c r="E92" s="79"/>
      <c r="F92" s="109">
        <v>4491.6000000000004</v>
      </c>
      <c r="G92" s="109">
        <v>3594.3</v>
      </c>
      <c r="H92" s="1">
        <f t="shared" si="17"/>
        <v>4800000</v>
      </c>
      <c r="I92" s="1">
        <v>0</v>
      </c>
      <c r="J92" s="1">
        <f>2*2400000</f>
        <v>4800000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f t="shared" si="21"/>
        <v>960000</v>
      </c>
      <c r="R92" s="1">
        <v>0</v>
      </c>
      <c r="S92" s="1">
        <f t="shared" si="22"/>
        <v>3840000</v>
      </c>
      <c r="T92" s="79">
        <v>2020</v>
      </c>
      <c r="U92" s="79">
        <v>2022</v>
      </c>
    </row>
    <row r="93" spans="1:21" ht="15.75">
      <c r="A93" s="79">
        <f t="shared" si="16"/>
        <v>68</v>
      </c>
      <c r="B93" s="186" t="s">
        <v>109</v>
      </c>
      <c r="C93" s="81">
        <v>1977</v>
      </c>
      <c r="D93" s="79"/>
      <c r="E93" s="79"/>
      <c r="F93" s="109">
        <v>4721.1000000000004</v>
      </c>
      <c r="G93" s="109">
        <v>4015.1</v>
      </c>
      <c r="H93" s="1">
        <f t="shared" si="17"/>
        <v>4800000</v>
      </c>
      <c r="I93" s="1">
        <v>0</v>
      </c>
      <c r="J93" s="1">
        <f>2*2400000</f>
        <v>4800000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f t="shared" si="21"/>
        <v>960000</v>
      </c>
      <c r="R93" s="1">
        <v>0</v>
      </c>
      <c r="S93" s="1">
        <f t="shared" si="22"/>
        <v>3840000</v>
      </c>
      <c r="T93" s="79">
        <v>2020</v>
      </c>
      <c r="U93" s="79">
        <v>2022</v>
      </c>
    </row>
    <row r="94" spans="1:21" ht="15.75">
      <c r="A94" s="79">
        <f t="shared" si="16"/>
        <v>69</v>
      </c>
      <c r="B94" s="186" t="s">
        <v>110</v>
      </c>
      <c r="C94" s="81">
        <v>1977</v>
      </c>
      <c r="D94" s="79"/>
      <c r="E94" s="79"/>
      <c r="F94" s="109">
        <v>4721.1000000000004</v>
      </c>
      <c r="G94" s="109">
        <v>4015.1</v>
      </c>
      <c r="H94" s="1">
        <f t="shared" si="17"/>
        <v>2400000</v>
      </c>
      <c r="I94" s="1">
        <v>0</v>
      </c>
      <c r="J94" s="1">
        <f>1*2400000</f>
        <v>2400000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f t="shared" si="21"/>
        <v>480000</v>
      </c>
      <c r="R94" s="1">
        <v>0</v>
      </c>
      <c r="S94" s="1">
        <f t="shared" si="22"/>
        <v>1920000</v>
      </c>
      <c r="T94" s="79">
        <v>2020</v>
      </c>
      <c r="U94" s="79">
        <v>2022</v>
      </c>
    </row>
    <row r="95" spans="1:21" ht="15.75">
      <c r="A95" s="79">
        <f t="shared" si="16"/>
        <v>70</v>
      </c>
      <c r="B95" s="186" t="s">
        <v>111</v>
      </c>
      <c r="C95" s="81">
        <v>1979</v>
      </c>
      <c r="D95" s="79"/>
      <c r="E95" s="79"/>
      <c r="F95" s="109">
        <v>2856.8</v>
      </c>
      <c r="G95" s="109">
        <v>2402.9299999999998</v>
      </c>
      <c r="H95" s="1">
        <f t="shared" si="17"/>
        <v>2400000</v>
      </c>
      <c r="I95" s="1">
        <v>0</v>
      </c>
      <c r="J95" s="1">
        <f>1*2400000</f>
        <v>2400000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f t="shared" si="21"/>
        <v>480000</v>
      </c>
      <c r="R95" s="1">
        <v>0</v>
      </c>
      <c r="S95" s="1">
        <f t="shared" si="22"/>
        <v>1920000</v>
      </c>
      <c r="T95" s="79">
        <v>2020</v>
      </c>
      <c r="U95" s="79">
        <v>2022</v>
      </c>
    </row>
    <row r="96" spans="1:21" ht="15.75">
      <c r="A96" s="79">
        <f t="shared" si="16"/>
        <v>71</v>
      </c>
      <c r="B96" s="186" t="s">
        <v>112</v>
      </c>
      <c r="C96" s="81">
        <v>1977</v>
      </c>
      <c r="D96" s="79"/>
      <c r="E96" s="79"/>
      <c r="F96" s="109">
        <v>2274.6</v>
      </c>
      <c r="G96" s="109">
        <v>1922.57</v>
      </c>
      <c r="H96" s="1">
        <f t="shared" si="17"/>
        <v>2400000</v>
      </c>
      <c r="I96" s="1">
        <v>0</v>
      </c>
      <c r="J96" s="1">
        <f>1*2400000</f>
        <v>2400000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f t="shared" si="21"/>
        <v>480000</v>
      </c>
      <c r="R96" s="1">
        <v>0</v>
      </c>
      <c r="S96" s="1">
        <f t="shared" si="22"/>
        <v>1920000</v>
      </c>
      <c r="T96" s="79">
        <v>2020</v>
      </c>
      <c r="U96" s="79">
        <v>2022</v>
      </c>
    </row>
    <row r="97" spans="1:21" ht="15.75">
      <c r="A97" s="79">
        <f t="shared" si="16"/>
        <v>72</v>
      </c>
      <c r="B97" s="186" t="s">
        <v>113</v>
      </c>
      <c r="C97" s="81">
        <v>1979</v>
      </c>
      <c r="D97" s="79"/>
      <c r="E97" s="79"/>
      <c r="F97" s="109">
        <v>8864.6</v>
      </c>
      <c r="G97" s="109">
        <v>7505.2</v>
      </c>
      <c r="H97" s="1">
        <f t="shared" si="17"/>
        <v>9600000</v>
      </c>
      <c r="I97" s="1">
        <v>0</v>
      </c>
      <c r="J97" s="1">
        <f>4*2400000</f>
        <v>9600000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f t="shared" si="21"/>
        <v>1920000</v>
      </c>
      <c r="R97" s="1">
        <v>0</v>
      </c>
      <c r="S97" s="1">
        <f t="shared" si="22"/>
        <v>7680000</v>
      </c>
      <c r="T97" s="79">
        <v>2020</v>
      </c>
      <c r="U97" s="79">
        <v>2022</v>
      </c>
    </row>
    <row r="98" spans="1:21" ht="15.75">
      <c r="A98" s="79">
        <f t="shared" si="16"/>
        <v>73</v>
      </c>
      <c r="B98" s="186" t="s">
        <v>114</v>
      </c>
      <c r="C98" s="81">
        <v>1979</v>
      </c>
      <c r="D98" s="79"/>
      <c r="E98" s="79"/>
      <c r="F98" s="109">
        <v>4514.8</v>
      </c>
      <c r="G98" s="109">
        <v>3844.2</v>
      </c>
      <c r="H98" s="1">
        <f t="shared" si="17"/>
        <v>4800000</v>
      </c>
      <c r="I98" s="1">
        <v>0</v>
      </c>
      <c r="J98" s="1">
        <f>2*2400000</f>
        <v>4800000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f t="shared" si="21"/>
        <v>960000</v>
      </c>
      <c r="R98" s="1">
        <v>0</v>
      </c>
      <c r="S98" s="1">
        <f t="shared" si="22"/>
        <v>3840000</v>
      </c>
      <c r="T98" s="79">
        <v>2020</v>
      </c>
      <c r="U98" s="79">
        <v>2022</v>
      </c>
    </row>
    <row r="99" spans="1:21" ht="15.75">
      <c r="A99" s="79">
        <f t="shared" si="16"/>
        <v>74</v>
      </c>
      <c r="B99" s="186" t="s">
        <v>115</v>
      </c>
      <c r="C99" s="81">
        <v>1979</v>
      </c>
      <c r="D99" s="79"/>
      <c r="E99" s="79"/>
      <c r="F99" s="109">
        <v>18162.400000000001</v>
      </c>
      <c r="G99" s="109">
        <v>16552.53</v>
      </c>
      <c r="H99" s="1">
        <f t="shared" si="17"/>
        <v>14400000</v>
      </c>
      <c r="I99" s="1">
        <v>0</v>
      </c>
      <c r="J99" s="1">
        <f>6*2400000</f>
        <v>14400000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f t="shared" si="21"/>
        <v>2880000</v>
      </c>
      <c r="R99" s="1">
        <v>0</v>
      </c>
      <c r="S99" s="1">
        <f t="shared" si="22"/>
        <v>11520000</v>
      </c>
      <c r="T99" s="79">
        <v>2020</v>
      </c>
      <c r="U99" s="79">
        <v>2022</v>
      </c>
    </row>
    <row r="100" spans="1:21" ht="15.75">
      <c r="A100" s="79">
        <f t="shared" si="16"/>
        <v>75</v>
      </c>
      <c r="B100" s="186" t="s">
        <v>116</v>
      </c>
      <c r="C100" s="81">
        <v>1981</v>
      </c>
      <c r="D100" s="79"/>
      <c r="E100" s="79"/>
      <c r="F100" s="109">
        <v>5319.9</v>
      </c>
      <c r="G100" s="109">
        <v>4373.2299999999996</v>
      </c>
      <c r="H100" s="1">
        <f t="shared" si="17"/>
        <v>4800000</v>
      </c>
      <c r="I100" s="1">
        <v>0</v>
      </c>
      <c r="J100" s="1">
        <f>2*2400000</f>
        <v>4800000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f t="shared" si="21"/>
        <v>960000</v>
      </c>
      <c r="R100" s="1">
        <v>0</v>
      </c>
      <c r="S100" s="1">
        <f t="shared" si="22"/>
        <v>3840000</v>
      </c>
      <c r="T100" s="79">
        <v>2020</v>
      </c>
      <c r="U100" s="79">
        <v>2022</v>
      </c>
    </row>
    <row r="101" spans="1:21" ht="15.75">
      <c r="A101" s="79">
        <f t="shared" si="16"/>
        <v>76</v>
      </c>
      <c r="B101" s="186" t="s">
        <v>117</v>
      </c>
      <c r="C101" s="81">
        <v>1979</v>
      </c>
      <c r="D101" s="79"/>
      <c r="E101" s="79"/>
      <c r="F101" s="109">
        <v>8775.2999999999993</v>
      </c>
      <c r="G101" s="109">
        <v>7944.53</v>
      </c>
      <c r="H101" s="1">
        <f t="shared" si="17"/>
        <v>9600000</v>
      </c>
      <c r="I101" s="1">
        <v>0</v>
      </c>
      <c r="J101" s="1">
        <f>4*2400000</f>
        <v>9600000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f t="shared" si="21"/>
        <v>1920000</v>
      </c>
      <c r="R101" s="1">
        <v>0</v>
      </c>
      <c r="S101" s="1">
        <f t="shared" si="22"/>
        <v>7680000</v>
      </c>
      <c r="T101" s="79">
        <v>2020</v>
      </c>
      <c r="U101" s="79">
        <v>2022</v>
      </c>
    </row>
    <row r="102" spans="1:21" ht="15.75">
      <c r="A102" s="79">
        <f t="shared" si="16"/>
        <v>77</v>
      </c>
      <c r="B102" s="186" t="s">
        <v>118</v>
      </c>
      <c r="C102" s="81">
        <v>1980</v>
      </c>
      <c r="D102" s="79"/>
      <c r="E102" s="79"/>
      <c r="F102" s="109">
        <v>2126.9</v>
      </c>
      <c r="G102" s="109">
        <v>1852.53</v>
      </c>
      <c r="H102" s="1">
        <f t="shared" si="17"/>
        <v>2400000</v>
      </c>
      <c r="I102" s="1">
        <v>0</v>
      </c>
      <c r="J102" s="1">
        <f>1*2400000</f>
        <v>2400000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f t="shared" si="21"/>
        <v>480000</v>
      </c>
      <c r="R102" s="1">
        <v>0</v>
      </c>
      <c r="S102" s="1">
        <f t="shared" si="22"/>
        <v>1920000</v>
      </c>
      <c r="T102" s="79">
        <v>2020</v>
      </c>
      <c r="U102" s="79">
        <v>2022</v>
      </c>
    </row>
    <row r="103" spans="1:21" ht="15.75">
      <c r="A103" s="79">
        <f t="shared" si="16"/>
        <v>78</v>
      </c>
      <c r="B103" s="186" t="s">
        <v>119</v>
      </c>
      <c r="C103" s="81">
        <v>1979</v>
      </c>
      <c r="D103" s="79"/>
      <c r="E103" s="79"/>
      <c r="F103" s="109">
        <v>4437.2</v>
      </c>
      <c r="G103" s="109">
        <v>4010.37</v>
      </c>
      <c r="H103" s="1">
        <f t="shared" si="17"/>
        <v>4800000</v>
      </c>
      <c r="I103" s="1">
        <v>0</v>
      </c>
      <c r="J103" s="1">
        <f>2*2400000</f>
        <v>4800000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f t="shared" si="21"/>
        <v>960000</v>
      </c>
      <c r="R103" s="1">
        <v>0</v>
      </c>
      <c r="S103" s="1">
        <f t="shared" si="22"/>
        <v>3840000</v>
      </c>
      <c r="T103" s="79">
        <v>2020</v>
      </c>
      <c r="U103" s="79">
        <v>2022</v>
      </c>
    </row>
    <row r="104" spans="1:21" ht="15.75">
      <c r="A104" s="79">
        <f t="shared" si="16"/>
        <v>79</v>
      </c>
      <c r="B104" s="186" t="s">
        <v>120</v>
      </c>
      <c r="C104" s="81">
        <v>1980</v>
      </c>
      <c r="D104" s="79"/>
      <c r="E104" s="79"/>
      <c r="F104" s="109">
        <v>1896.2</v>
      </c>
      <c r="G104" s="109">
        <v>1209.3</v>
      </c>
      <c r="H104" s="1">
        <f t="shared" si="17"/>
        <v>2400000</v>
      </c>
      <c r="I104" s="1">
        <v>0</v>
      </c>
      <c r="J104" s="1">
        <f>1*2400000</f>
        <v>2400000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f t="shared" si="21"/>
        <v>480000</v>
      </c>
      <c r="R104" s="1">
        <v>0</v>
      </c>
      <c r="S104" s="1">
        <f t="shared" si="22"/>
        <v>1920000</v>
      </c>
      <c r="T104" s="79">
        <v>2020</v>
      </c>
      <c r="U104" s="79">
        <v>2022</v>
      </c>
    </row>
    <row r="105" spans="1:21" ht="16.5" customHeight="1">
      <c r="A105" s="79">
        <f t="shared" si="16"/>
        <v>80</v>
      </c>
      <c r="B105" s="186" t="s">
        <v>121</v>
      </c>
      <c r="C105" s="81">
        <v>1976</v>
      </c>
      <c r="D105" s="112"/>
      <c r="E105" s="112"/>
      <c r="F105" s="109">
        <v>8856.2000000000007</v>
      </c>
      <c r="G105" s="109">
        <v>7533.7</v>
      </c>
      <c r="H105" s="1">
        <f t="shared" si="17"/>
        <v>9600000</v>
      </c>
      <c r="I105" s="1">
        <v>0</v>
      </c>
      <c r="J105" s="1">
        <f>4*2400000</f>
        <v>9600000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f>J105*20%+I105*99%</f>
        <v>1920000</v>
      </c>
      <c r="R105" s="1">
        <v>0</v>
      </c>
      <c r="S105" s="1">
        <f>J105*80%+I105*1%</f>
        <v>7680000</v>
      </c>
      <c r="T105" s="79">
        <v>2020</v>
      </c>
      <c r="U105" s="79">
        <v>2022</v>
      </c>
    </row>
    <row r="106" spans="1:21" ht="18" customHeight="1">
      <c r="A106" s="79">
        <f t="shared" si="16"/>
        <v>81</v>
      </c>
      <c r="B106" s="186" t="s">
        <v>122</v>
      </c>
      <c r="C106" s="81">
        <v>1959</v>
      </c>
      <c r="D106" s="112"/>
      <c r="E106" s="112"/>
      <c r="F106" s="109">
        <v>7889.3</v>
      </c>
      <c r="G106" s="109">
        <v>7168.1</v>
      </c>
      <c r="H106" s="1">
        <f t="shared" si="17"/>
        <v>1016324.71</v>
      </c>
      <c r="I106" s="1">
        <v>961324.71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55000</v>
      </c>
      <c r="P106" s="1">
        <v>0</v>
      </c>
      <c r="Q106" s="1">
        <v>1016324.71</v>
      </c>
      <c r="R106" s="1">
        <v>0</v>
      </c>
      <c r="S106" s="1">
        <v>0</v>
      </c>
      <c r="T106" s="79">
        <v>2020</v>
      </c>
      <c r="U106" s="79">
        <v>2021</v>
      </c>
    </row>
    <row r="107" spans="1:21" ht="15.75">
      <c r="A107" s="79">
        <f t="shared" si="16"/>
        <v>82</v>
      </c>
      <c r="B107" s="186" t="s">
        <v>123</v>
      </c>
      <c r="C107" s="81">
        <v>1956</v>
      </c>
      <c r="D107" s="113"/>
      <c r="E107" s="113" t="s">
        <v>124</v>
      </c>
      <c r="F107" s="92">
        <v>4682.1000000000004</v>
      </c>
      <c r="G107" s="92">
        <v>3569.7</v>
      </c>
      <c r="H107" s="1">
        <f t="shared" si="17"/>
        <v>11599998</v>
      </c>
      <c r="I107" s="1">
        <v>0</v>
      </c>
      <c r="J107" s="1">
        <v>0</v>
      </c>
      <c r="K107" s="1">
        <v>0</v>
      </c>
      <c r="L107" s="1">
        <v>0</v>
      </c>
      <c r="M107" s="1">
        <f>ROUND(2295.78*G107*1.015,2)</f>
        <v>8318174.5499999998</v>
      </c>
      <c r="N107" s="1">
        <f>ROUND(812.52*G107*1.015,2)</f>
        <v>2943959.43</v>
      </c>
      <c r="O107" s="1">
        <f>ROUND((M107+N107)*3%,2)</f>
        <v>337864.02</v>
      </c>
      <c r="P107" s="1">
        <v>0</v>
      </c>
      <c r="Q107" s="1">
        <v>0</v>
      </c>
      <c r="R107" s="1">
        <v>0</v>
      </c>
      <c r="S107" s="1">
        <f>H107</f>
        <v>11599998</v>
      </c>
      <c r="T107" s="79">
        <v>2020</v>
      </c>
      <c r="U107" s="79">
        <v>2022</v>
      </c>
    </row>
    <row r="108" spans="1:21" ht="18.75" customHeight="1">
      <c r="A108" s="79">
        <f t="shared" si="16"/>
        <v>83</v>
      </c>
      <c r="B108" s="186" t="s">
        <v>125</v>
      </c>
      <c r="C108" s="81">
        <v>1951</v>
      </c>
      <c r="D108" s="79"/>
      <c r="E108" s="113" t="s">
        <v>124</v>
      </c>
      <c r="F108" s="92">
        <v>2788.3</v>
      </c>
      <c r="G108" s="92">
        <v>2563.4</v>
      </c>
      <c r="H108" s="1">
        <f t="shared" si="17"/>
        <v>17906170.66</v>
      </c>
      <c r="I108" s="1">
        <f>ROUND((332.83+430.48+457.67+467.73+2235.31)*G108*1.015,2)</f>
        <v>10209715.359999999</v>
      </c>
      <c r="J108" s="1">
        <v>0</v>
      </c>
      <c r="K108" s="1">
        <f>ROUND(2757.62*G108*1.015,2)</f>
        <v>7174916.3499999996</v>
      </c>
      <c r="L108" s="1">
        <v>0</v>
      </c>
      <c r="M108" s="1">
        <v>0</v>
      </c>
      <c r="N108" s="1">
        <v>0</v>
      </c>
      <c r="O108" s="1">
        <f>ROUND((I108+K108)*3%,2)</f>
        <v>521538.95</v>
      </c>
      <c r="P108" s="1">
        <v>0</v>
      </c>
      <c r="Q108" s="1">
        <v>0</v>
      </c>
      <c r="R108" s="1">
        <v>0</v>
      </c>
      <c r="S108" s="1">
        <f>H108</f>
        <v>17906170.66</v>
      </c>
      <c r="T108" s="79">
        <v>2020</v>
      </c>
      <c r="U108" s="79">
        <v>2022</v>
      </c>
    </row>
    <row r="109" spans="1:21" ht="18.75" customHeight="1">
      <c r="A109" s="79">
        <f t="shared" si="16"/>
        <v>84</v>
      </c>
      <c r="B109" s="186" t="s">
        <v>126</v>
      </c>
      <c r="C109" s="81">
        <v>1976</v>
      </c>
      <c r="D109" s="112"/>
      <c r="E109" s="112"/>
      <c r="F109" s="109">
        <v>3694.1</v>
      </c>
      <c r="G109" s="109">
        <v>3287</v>
      </c>
      <c r="H109" s="1">
        <f t="shared" si="17"/>
        <v>2400000</v>
      </c>
      <c r="I109" s="1">
        <v>0</v>
      </c>
      <c r="J109" s="1">
        <f>1*2400000</f>
        <v>2400000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f>J109*20%+I109*99%</f>
        <v>480000</v>
      </c>
      <c r="R109" s="1">
        <v>0</v>
      </c>
      <c r="S109" s="1">
        <f>J109*80%+I109*1%</f>
        <v>1920000</v>
      </c>
      <c r="T109" s="79">
        <v>2020</v>
      </c>
      <c r="U109" s="79">
        <v>2022</v>
      </c>
    </row>
    <row r="110" spans="1:21" ht="18.75" customHeight="1">
      <c r="A110" s="79">
        <f t="shared" si="16"/>
        <v>85</v>
      </c>
      <c r="B110" s="186" t="s">
        <v>127</v>
      </c>
      <c r="C110" s="81">
        <v>1981</v>
      </c>
      <c r="D110" s="112"/>
      <c r="E110" s="112"/>
      <c r="F110" s="109">
        <v>4343.3999999999996</v>
      </c>
      <c r="G110" s="109">
        <v>3305.8</v>
      </c>
      <c r="H110" s="1">
        <f t="shared" si="17"/>
        <v>2400000</v>
      </c>
      <c r="I110" s="1">
        <v>0</v>
      </c>
      <c r="J110" s="1">
        <f>1*2400000</f>
        <v>2400000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f>J110*20%</f>
        <v>480000</v>
      </c>
      <c r="R110" s="1">
        <v>0</v>
      </c>
      <c r="S110" s="1">
        <f>J110*80%</f>
        <v>1920000</v>
      </c>
      <c r="T110" s="79">
        <v>2020</v>
      </c>
      <c r="U110" s="79">
        <v>2022</v>
      </c>
    </row>
    <row r="111" spans="1:21" ht="18.75" customHeight="1">
      <c r="A111" s="79">
        <f t="shared" si="16"/>
        <v>86</v>
      </c>
      <c r="B111" s="186" t="s">
        <v>128</v>
      </c>
      <c r="C111" s="81">
        <v>1960</v>
      </c>
      <c r="D111" s="79"/>
      <c r="E111" s="79"/>
      <c r="F111" s="110">
        <v>3466.9</v>
      </c>
      <c r="G111" s="110">
        <v>3142.2</v>
      </c>
      <c r="H111" s="1">
        <f t="shared" si="17"/>
        <v>7541667.1200000001</v>
      </c>
      <c r="I111" s="1">
        <v>0</v>
      </c>
      <c r="J111" s="1">
        <v>0</v>
      </c>
      <c r="K111" s="1">
        <v>0</v>
      </c>
      <c r="L111" s="1">
        <v>0</v>
      </c>
      <c r="M111" s="1">
        <f>ROUND(2295.78*G111*1.015,2)</f>
        <v>7322006.9100000001</v>
      </c>
      <c r="N111" s="1">
        <v>0</v>
      </c>
      <c r="O111" s="1">
        <f>ROUND(M111*3%,2)</f>
        <v>219660.21</v>
      </c>
      <c r="P111" s="1">
        <v>0</v>
      </c>
      <c r="Q111" s="1">
        <v>0</v>
      </c>
      <c r="R111" s="1">
        <v>0</v>
      </c>
      <c r="S111" s="1">
        <f>H111</f>
        <v>7541667.1200000001</v>
      </c>
      <c r="T111" s="79">
        <v>2020</v>
      </c>
      <c r="U111" s="79">
        <v>2022</v>
      </c>
    </row>
    <row r="112" spans="1:21" ht="18.75" customHeight="1">
      <c r="A112" s="79">
        <f t="shared" si="16"/>
        <v>87</v>
      </c>
      <c r="B112" s="186" t="s">
        <v>129</v>
      </c>
      <c r="C112" s="81">
        <v>1976</v>
      </c>
      <c r="D112" s="112"/>
      <c r="E112" s="112"/>
      <c r="F112" s="109">
        <v>4494</v>
      </c>
      <c r="G112" s="109">
        <v>3791.2</v>
      </c>
      <c r="H112" s="1">
        <f t="shared" si="17"/>
        <v>4800000</v>
      </c>
      <c r="I112" s="1">
        <v>0</v>
      </c>
      <c r="J112" s="1">
        <f>2*2400000</f>
        <v>4800000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f>J112*20%+I112*99%</f>
        <v>960000</v>
      </c>
      <c r="R112" s="1">
        <v>0</v>
      </c>
      <c r="S112" s="1">
        <f>J112*80%+I112*1%</f>
        <v>3840000</v>
      </c>
      <c r="T112" s="79">
        <v>2020</v>
      </c>
      <c r="U112" s="79">
        <v>2022</v>
      </c>
    </row>
    <row r="113" spans="1:21" ht="18.75" customHeight="1">
      <c r="A113" s="79">
        <f t="shared" si="16"/>
        <v>88</v>
      </c>
      <c r="B113" s="186" t="s">
        <v>130</v>
      </c>
      <c r="C113" s="81">
        <v>1976</v>
      </c>
      <c r="D113" s="112"/>
      <c r="E113" s="112"/>
      <c r="F113" s="109">
        <v>6095.6</v>
      </c>
      <c r="G113" s="109">
        <v>5289.2</v>
      </c>
      <c r="H113" s="1">
        <f t="shared" si="17"/>
        <v>4800000</v>
      </c>
      <c r="I113" s="1">
        <v>0</v>
      </c>
      <c r="J113" s="1">
        <f>2*2400000</f>
        <v>4800000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f>J113*20%+I113*99%</f>
        <v>960000</v>
      </c>
      <c r="R113" s="1">
        <v>0</v>
      </c>
      <c r="S113" s="1">
        <f>J113*80%+I113*1%</f>
        <v>3840000</v>
      </c>
      <c r="T113" s="79">
        <v>2020</v>
      </c>
      <c r="U113" s="79">
        <v>2022</v>
      </c>
    </row>
    <row r="114" spans="1:21" ht="18.75" customHeight="1">
      <c r="A114" s="79">
        <f t="shared" si="16"/>
        <v>89</v>
      </c>
      <c r="B114" s="186" t="s">
        <v>131</v>
      </c>
      <c r="C114" s="81">
        <v>1977</v>
      </c>
      <c r="D114" s="109"/>
      <c r="E114" s="109"/>
      <c r="F114" s="109">
        <v>13305.6</v>
      </c>
      <c r="G114" s="109">
        <v>11939.93</v>
      </c>
      <c r="H114" s="1">
        <f t="shared" si="17"/>
        <v>14400000</v>
      </c>
      <c r="I114" s="1">
        <v>0</v>
      </c>
      <c r="J114" s="1">
        <f>6*2400000</f>
        <v>14400000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f>J114*20%+I114*99%</f>
        <v>2880000</v>
      </c>
      <c r="R114" s="1">
        <v>0</v>
      </c>
      <c r="S114" s="1">
        <f>J114*80%+I114*1%</f>
        <v>11520000</v>
      </c>
      <c r="T114" s="79">
        <v>2020</v>
      </c>
      <c r="U114" s="79">
        <v>2022</v>
      </c>
    </row>
    <row r="115" spans="1:21" ht="18.75" customHeight="1">
      <c r="A115" s="79">
        <f t="shared" si="16"/>
        <v>90</v>
      </c>
      <c r="B115" s="186" t="s">
        <v>132</v>
      </c>
      <c r="C115" s="81">
        <v>1977</v>
      </c>
      <c r="D115" s="109"/>
      <c r="E115" s="109"/>
      <c r="F115" s="109">
        <v>6093.6</v>
      </c>
      <c r="G115" s="109">
        <v>5292.5</v>
      </c>
      <c r="H115" s="1">
        <f t="shared" si="17"/>
        <v>4800000</v>
      </c>
      <c r="I115" s="1">
        <v>0</v>
      </c>
      <c r="J115" s="1">
        <f>2*2400000</f>
        <v>4800000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f>J115*20%+I115*99%</f>
        <v>960000</v>
      </c>
      <c r="R115" s="1">
        <v>0</v>
      </c>
      <c r="S115" s="1">
        <f>J115*80%+I115*1%</f>
        <v>3840000</v>
      </c>
      <c r="T115" s="79">
        <v>2020</v>
      </c>
      <c r="U115" s="79">
        <v>2022</v>
      </c>
    </row>
    <row r="116" spans="1:21" ht="18.75" customHeight="1">
      <c r="A116" s="79">
        <f t="shared" si="16"/>
        <v>91</v>
      </c>
      <c r="B116" s="186" t="s">
        <v>133</v>
      </c>
      <c r="C116" s="81">
        <v>1977</v>
      </c>
      <c r="D116" s="109"/>
      <c r="E116" s="109"/>
      <c r="F116" s="109">
        <v>6133.9</v>
      </c>
      <c r="G116" s="109">
        <v>5574.77</v>
      </c>
      <c r="H116" s="1">
        <f t="shared" si="17"/>
        <v>4800000</v>
      </c>
      <c r="I116" s="1">
        <v>0</v>
      </c>
      <c r="J116" s="1">
        <f>2*2400000</f>
        <v>4800000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f>J116*20%</f>
        <v>960000</v>
      </c>
      <c r="R116" s="1">
        <v>0</v>
      </c>
      <c r="S116" s="1">
        <f>J116*80%</f>
        <v>3840000</v>
      </c>
      <c r="T116" s="79">
        <v>2020</v>
      </c>
      <c r="U116" s="79">
        <v>2022</v>
      </c>
    </row>
    <row r="117" spans="1:21" ht="18.75" customHeight="1">
      <c r="A117" s="79">
        <f t="shared" si="16"/>
        <v>92</v>
      </c>
      <c r="B117" s="186" t="s">
        <v>134</v>
      </c>
      <c r="C117" s="81">
        <v>1976</v>
      </c>
      <c r="D117" s="109"/>
      <c r="E117" s="109"/>
      <c r="F117" s="109">
        <v>4539</v>
      </c>
      <c r="G117" s="109">
        <v>4076.83</v>
      </c>
      <c r="H117" s="1">
        <f t="shared" si="17"/>
        <v>2400000</v>
      </c>
      <c r="I117" s="1">
        <v>0</v>
      </c>
      <c r="J117" s="1">
        <f>1*2400000</f>
        <v>2400000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f>J117*20%+I117*99%</f>
        <v>480000</v>
      </c>
      <c r="R117" s="1">
        <v>0</v>
      </c>
      <c r="S117" s="1">
        <f>J117*80%+I117*1%</f>
        <v>1920000</v>
      </c>
      <c r="T117" s="79">
        <v>2020</v>
      </c>
      <c r="U117" s="79">
        <v>2022</v>
      </c>
    </row>
    <row r="118" spans="1:21" ht="18.75" customHeight="1">
      <c r="A118" s="79">
        <f t="shared" si="16"/>
        <v>93</v>
      </c>
      <c r="B118" s="186" t="s">
        <v>135</v>
      </c>
      <c r="C118" s="81">
        <v>1976</v>
      </c>
      <c r="D118" s="109"/>
      <c r="E118" s="109"/>
      <c r="F118" s="109">
        <v>1670.6</v>
      </c>
      <c r="G118" s="109">
        <v>1368.2</v>
      </c>
      <c r="H118" s="1">
        <f t="shared" si="17"/>
        <v>2400000</v>
      </c>
      <c r="I118" s="1">
        <v>0</v>
      </c>
      <c r="J118" s="1">
        <f>1*2400000</f>
        <v>2400000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f t="shared" ref="Q118:Q125" si="23">J118*20%</f>
        <v>480000</v>
      </c>
      <c r="R118" s="1">
        <v>0</v>
      </c>
      <c r="S118" s="1">
        <f t="shared" ref="S118:S125" si="24">J118*80%</f>
        <v>1920000</v>
      </c>
      <c r="T118" s="79">
        <v>2020</v>
      </c>
      <c r="U118" s="79">
        <v>2022</v>
      </c>
    </row>
    <row r="119" spans="1:21" ht="18.75" customHeight="1">
      <c r="A119" s="79">
        <f t="shared" si="16"/>
        <v>94</v>
      </c>
      <c r="B119" s="186" t="s">
        <v>136</v>
      </c>
      <c r="C119" s="81">
        <v>1977</v>
      </c>
      <c r="D119" s="109"/>
      <c r="E119" s="109"/>
      <c r="F119" s="109">
        <v>6074.8</v>
      </c>
      <c r="G119" s="109">
        <v>5517.53</v>
      </c>
      <c r="H119" s="1">
        <f t="shared" si="17"/>
        <v>4800000</v>
      </c>
      <c r="I119" s="1">
        <v>0</v>
      </c>
      <c r="J119" s="1">
        <f>2*2400000</f>
        <v>4800000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f t="shared" si="23"/>
        <v>960000</v>
      </c>
      <c r="R119" s="1">
        <v>0</v>
      </c>
      <c r="S119" s="1">
        <f t="shared" si="24"/>
        <v>3840000</v>
      </c>
      <c r="T119" s="79">
        <v>2020</v>
      </c>
      <c r="U119" s="79">
        <v>2022</v>
      </c>
    </row>
    <row r="120" spans="1:21" ht="18.75" customHeight="1">
      <c r="A120" s="79">
        <f t="shared" si="16"/>
        <v>95</v>
      </c>
      <c r="B120" s="186" t="s">
        <v>137</v>
      </c>
      <c r="C120" s="81">
        <v>1980</v>
      </c>
      <c r="D120" s="109"/>
      <c r="E120" s="109"/>
      <c r="F120" s="109">
        <v>2869.7</v>
      </c>
      <c r="G120" s="109">
        <v>2535.87</v>
      </c>
      <c r="H120" s="1">
        <f t="shared" si="17"/>
        <v>2400000</v>
      </c>
      <c r="I120" s="1">
        <v>0</v>
      </c>
      <c r="J120" s="1">
        <f>1*2400000</f>
        <v>2400000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f t="shared" si="23"/>
        <v>480000</v>
      </c>
      <c r="R120" s="1">
        <v>0</v>
      </c>
      <c r="S120" s="1">
        <f t="shared" si="24"/>
        <v>1920000</v>
      </c>
      <c r="T120" s="79">
        <v>2020</v>
      </c>
      <c r="U120" s="79">
        <v>2022</v>
      </c>
    </row>
    <row r="121" spans="1:21" ht="18.75" customHeight="1">
      <c r="A121" s="79">
        <f t="shared" si="16"/>
        <v>96</v>
      </c>
      <c r="B121" s="186" t="s">
        <v>138</v>
      </c>
      <c r="C121" s="81">
        <v>1979</v>
      </c>
      <c r="D121" s="112"/>
      <c r="E121" s="112"/>
      <c r="F121" s="109">
        <v>4633.5</v>
      </c>
      <c r="G121" s="109">
        <v>3760.5</v>
      </c>
      <c r="H121" s="1">
        <f t="shared" si="17"/>
        <v>4800000</v>
      </c>
      <c r="I121" s="1">
        <v>0</v>
      </c>
      <c r="J121" s="1">
        <f>2*2400000</f>
        <v>4800000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f t="shared" si="23"/>
        <v>960000</v>
      </c>
      <c r="R121" s="1">
        <v>0</v>
      </c>
      <c r="S121" s="1">
        <f t="shared" si="24"/>
        <v>3840000</v>
      </c>
      <c r="T121" s="79">
        <v>2020</v>
      </c>
      <c r="U121" s="79">
        <v>2022</v>
      </c>
    </row>
    <row r="122" spans="1:21" ht="18.75" customHeight="1">
      <c r="A122" s="79">
        <f t="shared" si="16"/>
        <v>97</v>
      </c>
      <c r="B122" s="186" t="s">
        <v>139</v>
      </c>
      <c r="C122" s="81">
        <v>1981</v>
      </c>
      <c r="D122" s="112"/>
      <c r="E122" s="112"/>
      <c r="F122" s="109">
        <v>4090.9</v>
      </c>
      <c r="G122" s="109">
        <v>3425.93</v>
      </c>
      <c r="H122" s="1">
        <f t="shared" si="17"/>
        <v>4800000</v>
      </c>
      <c r="I122" s="1">
        <v>0</v>
      </c>
      <c r="J122" s="1">
        <f>2*2400000</f>
        <v>4800000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f t="shared" si="23"/>
        <v>960000</v>
      </c>
      <c r="R122" s="1">
        <v>0</v>
      </c>
      <c r="S122" s="1">
        <f t="shared" si="24"/>
        <v>3840000</v>
      </c>
      <c r="T122" s="79">
        <v>2020</v>
      </c>
      <c r="U122" s="79">
        <v>2022</v>
      </c>
    </row>
    <row r="123" spans="1:21" ht="18.75" customHeight="1">
      <c r="A123" s="79">
        <f t="shared" si="16"/>
        <v>98</v>
      </c>
      <c r="B123" s="186" t="s">
        <v>140</v>
      </c>
      <c r="C123" s="81">
        <v>1980</v>
      </c>
      <c r="D123" s="112"/>
      <c r="E123" s="112"/>
      <c r="F123" s="109">
        <v>2913.5</v>
      </c>
      <c r="G123" s="109">
        <v>2417.9</v>
      </c>
      <c r="H123" s="1">
        <f t="shared" si="17"/>
        <v>2400000</v>
      </c>
      <c r="I123" s="1">
        <v>0</v>
      </c>
      <c r="J123" s="1">
        <f>1*2400000</f>
        <v>2400000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f t="shared" si="23"/>
        <v>480000</v>
      </c>
      <c r="R123" s="1">
        <v>0</v>
      </c>
      <c r="S123" s="1">
        <f t="shared" si="24"/>
        <v>1920000</v>
      </c>
      <c r="T123" s="79">
        <v>2020</v>
      </c>
      <c r="U123" s="79">
        <v>2022</v>
      </c>
    </row>
    <row r="124" spans="1:21" ht="18.75" customHeight="1">
      <c r="A124" s="79">
        <f t="shared" si="16"/>
        <v>99</v>
      </c>
      <c r="B124" s="186" t="s">
        <v>141</v>
      </c>
      <c r="C124" s="81">
        <v>1980</v>
      </c>
      <c r="D124" s="112"/>
      <c r="E124" s="112"/>
      <c r="F124" s="109">
        <v>4715.1000000000004</v>
      </c>
      <c r="G124" s="109">
        <v>3824.9</v>
      </c>
      <c r="H124" s="1">
        <f t="shared" si="17"/>
        <v>4800000</v>
      </c>
      <c r="I124" s="1">
        <v>0</v>
      </c>
      <c r="J124" s="1">
        <f>2*2400000</f>
        <v>4800000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f t="shared" si="23"/>
        <v>960000</v>
      </c>
      <c r="R124" s="1">
        <v>0</v>
      </c>
      <c r="S124" s="1">
        <f t="shared" si="24"/>
        <v>3840000</v>
      </c>
      <c r="T124" s="79">
        <v>2020</v>
      </c>
      <c r="U124" s="79">
        <v>2022</v>
      </c>
    </row>
    <row r="125" spans="1:21" ht="18.75" customHeight="1">
      <c r="A125" s="79">
        <f t="shared" si="16"/>
        <v>100</v>
      </c>
      <c r="B125" s="186" t="s">
        <v>142</v>
      </c>
      <c r="C125" s="81">
        <v>1980</v>
      </c>
      <c r="D125" s="112"/>
      <c r="E125" s="112"/>
      <c r="F125" s="109">
        <v>4733.8</v>
      </c>
      <c r="G125" s="109">
        <v>4128.3500000000004</v>
      </c>
      <c r="H125" s="1">
        <f t="shared" si="17"/>
        <v>4800000</v>
      </c>
      <c r="I125" s="1">
        <v>0</v>
      </c>
      <c r="J125" s="1">
        <f>2*2400000</f>
        <v>4800000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f t="shared" si="23"/>
        <v>960000</v>
      </c>
      <c r="R125" s="1">
        <v>0</v>
      </c>
      <c r="S125" s="1">
        <f t="shared" si="24"/>
        <v>3840000</v>
      </c>
      <c r="T125" s="79">
        <v>2020</v>
      </c>
      <c r="U125" s="79">
        <v>2022</v>
      </c>
    </row>
    <row r="126" spans="1:21" ht="18.75" customHeight="1">
      <c r="A126" s="79">
        <f t="shared" si="16"/>
        <v>101</v>
      </c>
      <c r="B126" s="186" t="s">
        <v>143</v>
      </c>
      <c r="C126" s="81">
        <v>1980</v>
      </c>
      <c r="D126" s="109"/>
      <c r="E126" s="109"/>
      <c r="F126" s="109">
        <v>4718</v>
      </c>
      <c r="G126" s="109">
        <v>3842.9</v>
      </c>
      <c r="H126" s="1">
        <f t="shared" si="17"/>
        <v>4800000</v>
      </c>
      <c r="I126" s="1">
        <v>0</v>
      </c>
      <c r="J126" s="1">
        <f>2*2400000</f>
        <v>4800000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f>J126*20%+I126*99%</f>
        <v>960000</v>
      </c>
      <c r="R126" s="1">
        <v>0</v>
      </c>
      <c r="S126" s="1">
        <f>J126*80%+I126*1%</f>
        <v>3840000</v>
      </c>
      <c r="T126" s="79">
        <v>2020</v>
      </c>
      <c r="U126" s="79">
        <v>2022</v>
      </c>
    </row>
    <row r="127" spans="1:21" ht="18.75" customHeight="1">
      <c r="A127" s="79">
        <f t="shared" si="16"/>
        <v>102</v>
      </c>
      <c r="B127" s="186" t="s">
        <v>144</v>
      </c>
      <c r="C127" s="81">
        <v>1979</v>
      </c>
      <c r="D127" s="109"/>
      <c r="E127" s="109"/>
      <c r="F127" s="109">
        <v>1773.4</v>
      </c>
      <c r="G127" s="109">
        <v>1367.8</v>
      </c>
      <c r="H127" s="1">
        <f t="shared" si="17"/>
        <v>2400000</v>
      </c>
      <c r="I127" s="1">
        <v>0</v>
      </c>
      <c r="J127" s="1">
        <f>1*2400000</f>
        <v>2400000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f>J127*20%</f>
        <v>480000</v>
      </c>
      <c r="R127" s="1">
        <v>0</v>
      </c>
      <c r="S127" s="1">
        <f>J127*80%</f>
        <v>1920000</v>
      </c>
      <c r="T127" s="79">
        <v>2020</v>
      </c>
      <c r="U127" s="79">
        <v>2022</v>
      </c>
    </row>
    <row r="128" spans="1:21" ht="15.75">
      <c r="A128" s="79">
        <f t="shared" si="16"/>
        <v>103</v>
      </c>
      <c r="B128" s="186" t="s">
        <v>145</v>
      </c>
      <c r="C128" s="81">
        <v>1979</v>
      </c>
      <c r="D128" s="109"/>
      <c r="E128" s="109"/>
      <c r="F128" s="109">
        <v>4745.1000000000004</v>
      </c>
      <c r="G128" s="109">
        <v>4305.97</v>
      </c>
      <c r="H128" s="1">
        <f t="shared" si="17"/>
        <v>4800000</v>
      </c>
      <c r="I128" s="1">
        <v>0</v>
      </c>
      <c r="J128" s="1">
        <f>2*2400000</f>
        <v>4800000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f>J128*20%</f>
        <v>960000</v>
      </c>
      <c r="R128" s="1">
        <v>0</v>
      </c>
      <c r="S128" s="1">
        <f>J128*80%</f>
        <v>3840000</v>
      </c>
      <c r="T128" s="79">
        <v>2020</v>
      </c>
      <c r="U128" s="79">
        <v>2022</v>
      </c>
    </row>
    <row r="129" spans="1:21" ht="15.75">
      <c r="A129" s="79">
        <f t="shared" si="16"/>
        <v>104</v>
      </c>
      <c r="B129" s="186" t="s">
        <v>146</v>
      </c>
      <c r="C129" s="81">
        <v>1979</v>
      </c>
      <c r="D129" s="109"/>
      <c r="E129" s="109"/>
      <c r="F129" s="109">
        <v>4742.3999999999996</v>
      </c>
      <c r="G129" s="109">
        <v>4132.7</v>
      </c>
      <c r="H129" s="1">
        <f t="shared" si="17"/>
        <v>4800000</v>
      </c>
      <c r="I129" s="1">
        <v>0</v>
      </c>
      <c r="J129" s="1">
        <f>2*2400000</f>
        <v>4800000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f>J129*20%+I129*99%</f>
        <v>960000</v>
      </c>
      <c r="R129" s="1">
        <v>0</v>
      </c>
      <c r="S129" s="1">
        <f>J129*80%+I129*1%</f>
        <v>3840000</v>
      </c>
      <c r="T129" s="79">
        <v>2020</v>
      </c>
      <c r="U129" s="79">
        <v>2022</v>
      </c>
    </row>
    <row r="130" spans="1:21" ht="15.75">
      <c r="A130" s="79">
        <f t="shared" si="16"/>
        <v>105</v>
      </c>
      <c r="B130" s="186" t="s">
        <v>147</v>
      </c>
      <c r="C130" s="81">
        <v>1980</v>
      </c>
      <c r="D130" s="109"/>
      <c r="E130" s="109"/>
      <c r="F130" s="109">
        <v>4017.6</v>
      </c>
      <c r="G130" s="109">
        <v>3328.3</v>
      </c>
      <c r="H130" s="1">
        <f t="shared" si="17"/>
        <v>4800000</v>
      </c>
      <c r="I130" s="1">
        <v>0</v>
      </c>
      <c r="J130" s="1">
        <f>2*2400000</f>
        <v>4800000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f>J130*20%</f>
        <v>960000</v>
      </c>
      <c r="R130" s="1">
        <v>0</v>
      </c>
      <c r="S130" s="1">
        <f>J130*80%</f>
        <v>3840000</v>
      </c>
      <c r="T130" s="79">
        <v>2020</v>
      </c>
      <c r="U130" s="79">
        <v>2022</v>
      </c>
    </row>
    <row r="131" spans="1:21" ht="15.75">
      <c r="A131" s="79">
        <f t="shared" si="16"/>
        <v>106</v>
      </c>
      <c r="B131" s="186" t="s">
        <v>148</v>
      </c>
      <c r="C131" s="81">
        <v>1980</v>
      </c>
      <c r="D131" s="109"/>
      <c r="E131" s="109"/>
      <c r="F131" s="109">
        <v>6401</v>
      </c>
      <c r="G131" s="109">
        <v>5641.4</v>
      </c>
      <c r="H131" s="1">
        <f t="shared" si="17"/>
        <v>4800000</v>
      </c>
      <c r="I131" s="1">
        <v>0</v>
      </c>
      <c r="J131" s="1">
        <f>2*2400000</f>
        <v>4800000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f>J131*20%</f>
        <v>960000</v>
      </c>
      <c r="R131" s="1">
        <v>0</v>
      </c>
      <c r="S131" s="1">
        <f>J131*80%</f>
        <v>3840000</v>
      </c>
      <c r="T131" s="79">
        <v>2020</v>
      </c>
      <c r="U131" s="79">
        <v>2022</v>
      </c>
    </row>
    <row r="132" spans="1:21" ht="15.75">
      <c r="A132" s="79">
        <f t="shared" si="16"/>
        <v>107</v>
      </c>
      <c r="B132" s="186" t="s">
        <v>149</v>
      </c>
      <c r="C132" s="81">
        <v>1980</v>
      </c>
      <c r="D132" s="109"/>
      <c r="E132" s="109"/>
      <c r="F132" s="109">
        <v>6401.9</v>
      </c>
      <c r="G132" s="109">
        <v>5665.1</v>
      </c>
      <c r="H132" s="1">
        <f t="shared" si="17"/>
        <v>4800000</v>
      </c>
      <c r="I132" s="1">
        <v>0</v>
      </c>
      <c r="J132" s="1">
        <f>2*2400000</f>
        <v>4800000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f>J132*20%</f>
        <v>960000</v>
      </c>
      <c r="R132" s="1">
        <v>0</v>
      </c>
      <c r="S132" s="1">
        <f>J132*80%</f>
        <v>3840000</v>
      </c>
      <c r="T132" s="79">
        <v>2020</v>
      </c>
      <c r="U132" s="79">
        <v>2022</v>
      </c>
    </row>
    <row r="133" spans="1:21" ht="15.75">
      <c r="A133" s="79">
        <f t="shared" si="16"/>
        <v>108</v>
      </c>
      <c r="B133" s="186" t="s">
        <v>150</v>
      </c>
      <c r="C133" s="81">
        <v>1981</v>
      </c>
      <c r="D133" s="109"/>
      <c r="E133" s="109"/>
      <c r="F133" s="109">
        <v>2891.9</v>
      </c>
      <c r="G133" s="109">
        <v>2398.6999999999998</v>
      </c>
      <c r="H133" s="1">
        <f t="shared" si="17"/>
        <v>2400000</v>
      </c>
      <c r="I133" s="1">
        <v>0</v>
      </c>
      <c r="J133" s="1">
        <f>1*2400000</f>
        <v>2400000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f>J133*20%</f>
        <v>480000</v>
      </c>
      <c r="R133" s="1">
        <v>0</v>
      </c>
      <c r="S133" s="1">
        <f>J133*80%</f>
        <v>1920000</v>
      </c>
      <c r="T133" s="79">
        <v>2020</v>
      </c>
      <c r="U133" s="79">
        <v>2022</v>
      </c>
    </row>
    <row r="134" spans="1:21" ht="15.75">
      <c r="A134" s="79">
        <f t="shared" si="16"/>
        <v>109</v>
      </c>
      <c r="B134" s="186" t="s">
        <v>151</v>
      </c>
      <c r="C134" s="81">
        <v>1959</v>
      </c>
      <c r="D134" s="79"/>
      <c r="E134" s="79"/>
      <c r="F134" s="110">
        <v>1776.6</v>
      </c>
      <c r="G134" s="110">
        <v>1432.5</v>
      </c>
      <c r="H134" s="1">
        <f t="shared" si="17"/>
        <v>5702828.0300000003</v>
      </c>
      <c r="I134" s="1">
        <v>0</v>
      </c>
      <c r="J134" s="1">
        <v>0</v>
      </c>
      <c r="K134" s="1">
        <v>0</v>
      </c>
      <c r="L134" s="1">
        <f>ROUND(296.65*G134*1.015,2)</f>
        <v>431325.39</v>
      </c>
      <c r="M134" s="1">
        <f>ROUND(2698.79*G134*1.015,2)</f>
        <v>3924006.93</v>
      </c>
      <c r="N134" s="1">
        <f>ROUND(812.52*G134*1.015,2)</f>
        <v>1181393.9199999999</v>
      </c>
      <c r="O134" s="1">
        <f>ROUND((L134+M134+N134)*3%,2)</f>
        <v>166101.79</v>
      </c>
      <c r="P134" s="1">
        <v>0</v>
      </c>
      <c r="Q134" s="1">
        <v>0</v>
      </c>
      <c r="R134" s="1">
        <v>0</v>
      </c>
      <c r="S134" s="1">
        <f>H134</f>
        <v>5702828.0300000003</v>
      </c>
      <c r="T134" s="79">
        <v>2020</v>
      </c>
      <c r="U134" s="79">
        <v>2022</v>
      </c>
    </row>
    <row r="135" spans="1:21" ht="15.75">
      <c r="A135" s="79">
        <f t="shared" si="16"/>
        <v>110</v>
      </c>
      <c r="B135" s="186" t="s">
        <v>152</v>
      </c>
      <c r="C135" s="81">
        <v>1980</v>
      </c>
      <c r="D135" s="109"/>
      <c r="E135" s="109"/>
      <c r="F135" s="109">
        <v>5961.7</v>
      </c>
      <c r="G135" s="109">
        <v>5142.2</v>
      </c>
      <c r="H135" s="1">
        <f t="shared" si="17"/>
        <v>7200000</v>
      </c>
      <c r="I135" s="1">
        <v>0</v>
      </c>
      <c r="J135" s="1">
        <f>3*2400000</f>
        <v>7200000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f>J135*20%</f>
        <v>1440000</v>
      </c>
      <c r="R135" s="1">
        <v>0</v>
      </c>
      <c r="S135" s="1">
        <f>J135*80%</f>
        <v>5760000</v>
      </c>
      <c r="T135" s="79">
        <v>2020</v>
      </c>
      <c r="U135" s="79">
        <v>2022</v>
      </c>
    </row>
    <row r="136" spans="1:21" ht="15.75">
      <c r="A136" s="79">
        <f t="shared" ref="A136:A197" si="25">A135+1</f>
        <v>111</v>
      </c>
      <c r="B136" s="186" t="s">
        <v>153</v>
      </c>
      <c r="C136" s="81">
        <v>1980</v>
      </c>
      <c r="D136" s="109"/>
      <c r="E136" s="109"/>
      <c r="F136" s="109">
        <v>3961.5</v>
      </c>
      <c r="G136" s="109">
        <v>3601.8</v>
      </c>
      <c r="H136" s="1">
        <f t="shared" si="17"/>
        <v>4800000</v>
      </c>
      <c r="I136" s="1">
        <v>0</v>
      </c>
      <c r="J136" s="1">
        <f>2*2400000</f>
        <v>4800000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f>J136*20%</f>
        <v>960000</v>
      </c>
      <c r="R136" s="1">
        <v>0</v>
      </c>
      <c r="S136" s="1">
        <f>J136*80%</f>
        <v>3840000</v>
      </c>
      <c r="T136" s="79">
        <v>2020</v>
      </c>
      <c r="U136" s="79">
        <v>2022</v>
      </c>
    </row>
    <row r="137" spans="1:21" ht="15.75">
      <c r="A137" s="79">
        <f t="shared" si="25"/>
        <v>112</v>
      </c>
      <c r="B137" s="186" t="s">
        <v>154</v>
      </c>
      <c r="C137" s="81">
        <v>1980</v>
      </c>
      <c r="D137" s="109"/>
      <c r="E137" s="109"/>
      <c r="F137" s="109">
        <v>9895.2000000000007</v>
      </c>
      <c r="G137" s="109">
        <v>8955.2999999999993</v>
      </c>
      <c r="H137" s="1">
        <f t="shared" si="17"/>
        <v>12000000</v>
      </c>
      <c r="I137" s="1">
        <v>0</v>
      </c>
      <c r="J137" s="1">
        <f>5*2400000</f>
        <v>12000000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f>J137*20%</f>
        <v>2400000</v>
      </c>
      <c r="R137" s="1">
        <v>0</v>
      </c>
      <c r="S137" s="1">
        <f>J137*80%</f>
        <v>9600000</v>
      </c>
      <c r="T137" s="79">
        <v>2020</v>
      </c>
      <c r="U137" s="79">
        <v>2022</v>
      </c>
    </row>
    <row r="138" spans="1:21" ht="15.75">
      <c r="A138" s="79">
        <f t="shared" si="25"/>
        <v>113</v>
      </c>
      <c r="B138" s="186" t="s">
        <v>155</v>
      </c>
      <c r="C138" s="81">
        <v>1966</v>
      </c>
      <c r="D138" s="79"/>
      <c r="E138" s="79"/>
      <c r="F138" s="110">
        <v>2628.7</v>
      </c>
      <c r="G138" s="110">
        <v>2239.8000000000002</v>
      </c>
      <c r="H138" s="1">
        <f t="shared" si="17"/>
        <v>3037801.66</v>
      </c>
      <c r="I138" s="1">
        <v>0</v>
      </c>
      <c r="J138" s="1">
        <f>3037801.66*1-O138</f>
        <v>2961856.62</v>
      </c>
      <c r="K138" s="1">
        <v>0</v>
      </c>
      <c r="L138" s="1">
        <v>0</v>
      </c>
      <c r="M138" s="1">
        <v>0</v>
      </c>
      <c r="N138" s="1">
        <v>0</v>
      </c>
      <c r="O138" s="1">
        <v>75945.039999999994</v>
      </c>
      <c r="P138" s="1">
        <v>0</v>
      </c>
      <c r="Q138" s="1">
        <v>0</v>
      </c>
      <c r="R138" s="1">
        <v>0</v>
      </c>
      <c r="S138" s="13">
        <f>H138</f>
        <v>3037801.66</v>
      </c>
      <c r="T138" s="79">
        <v>2020</v>
      </c>
      <c r="U138" s="79">
        <v>2022</v>
      </c>
    </row>
    <row r="139" spans="1:21" ht="15.75">
      <c r="A139" s="79">
        <f t="shared" si="25"/>
        <v>114</v>
      </c>
      <c r="B139" s="186" t="s">
        <v>156</v>
      </c>
      <c r="C139" s="81">
        <v>1965</v>
      </c>
      <c r="D139" s="79"/>
      <c r="E139" s="79"/>
      <c r="F139" s="110">
        <v>3825.8</v>
      </c>
      <c r="G139" s="110">
        <v>2645.8</v>
      </c>
      <c r="H139" s="1">
        <f t="shared" si="17"/>
        <v>1016324.71</v>
      </c>
      <c r="I139" s="1">
        <v>961324.71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55000</v>
      </c>
      <c r="P139" s="1">
        <v>0</v>
      </c>
      <c r="Q139" s="1">
        <v>1016324.71</v>
      </c>
      <c r="R139" s="1">
        <v>0</v>
      </c>
      <c r="S139" s="1">
        <v>0</v>
      </c>
      <c r="T139" s="79">
        <v>2020</v>
      </c>
      <c r="U139" s="79">
        <v>2021</v>
      </c>
    </row>
    <row r="140" spans="1:21" ht="15.75">
      <c r="A140" s="79">
        <f t="shared" si="25"/>
        <v>115</v>
      </c>
      <c r="B140" s="186" t="s">
        <v>157</v>
      </c>
      <c r="C140" s="81">
        <v>1964</v>
      </c>
      <c r="D140" s="79"/>
      <c r="E140" s="79"/>
      <c r="F140" s="110">
        <v>3150.5</v>
      </c>
      <c r="G140" s="110">
        <v>2390.1999999999998</v>
      </c>
      <c r="H140" s="1">
        <f t="shared" si="17"/>
        <v>1016324.71</v>
      </c>
      <c r="I140" s="1">
        <v>961324.71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55000</v>
      </c>
      <c r="P140" s="1">
        <v>0</v>
      </c>
      <c r="Q140" s="1">
        <v>1016324.71</v>
      </c>
      <c r="R140" s="1">
        <v>0</v>
      </c>
      <c r="S140" s="1">
        <v>0</v>
      </c>
      <c r="T140" s="79">
        <v>2020</v>
      </c>
      <c r="U140" s="79">
        <v>2021</v>
      </c>
    </row>
    <row r="141" spans="1:21" ht="15.75">
      <c r="A141" s="79">
        <f t="shared" si="25"/>
        <v>116</v>
      </c>
      <c r="B141" s="186" t="s">
        <v>158</v>
      </c>
      <c r="C141" s="81">
        <v>1964</v>
      </c>
      <c r="D141" s="79"/>
      <c r="E141" s="79"/>
      <c r="F141" s="110">
        <v>2775.7</v>
      </c>
      <c r="G141" s="110">
        <v>1872.3</v>
      </c>
      <c r="H141" s="1">
        <f t="shared" si="17"/>
        <v>1016324.71</v>
      </c>
      <c r="I141" s="1">
        <v>961324.71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55000</v>
      </c>
      <c r="P141" s="1">
        <v>0</v>
      </c>
      <c r="Q141" s="1">
        <v>1016324.71</v>
      </c>
      <c r="R141" s="1">
        <v>0</v>
      </c>
      <c r="S141" s="1">
        <v>0</v>
      </c>
      <c r="T141" s="79">
        <v>2020</v>
      </c>
      <c r="U141" s="79">
        <v>2021</v>
      </c>
    </row>
    <row r="142" spans="1:21" ht="15.75">
      <c r="A142" s="79">
        <f t="shared" si="25"/>
        <v>117</v>
      </c>
      <c r="B142" s="186" t="s">
        <v>159</v>
      </c>
      <c r="C142" s="81">
        <v>1964</v>
      </c>
      <c r="D142" s="79"/>
      <c r="E142" s="79"/>
      <c r="F142" s="110">
        <v>2581.1</v>
      </c>
      <c r="G142" s="110">
        <v>1746.2</v>
      </c>
      <c r="H142" s="1">
        <f t="shared" si="17"/>
        <v>1016324.71</v>
      </c>
      <c r="I142" s="1">
        <v>961324.71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55000</v>
      </c>
      <c r="P142" s="1">
        <v>0</v>
      </c>
      <c r="Q142" s="1">
        <v>1016324.71</v>
      </c>
      <c r="R142" s="1">
        <v>0</v>
      </c>
      <c r="S142" s="1">
        <v>0</v>
      </c>
      <c r="T142" s="79">
        <v>2020</v>
      </c>
      <c r="U142" s="79">
        <v>2021</v>
      </c>
    </row>
    <row r="143" spans="1:21" ht="15.75">
      <c r="A143" s="79">
        <f t="shared" si="25"/>
        <v>118</v>
      </c>
      <c r="B143" s="186" t="s">
        <v>160</v>
      </c>
      <c r="C143" s="81">
        <v>1952</v>
      </c>
      <c r="D143" s="79"/>
      <c r="E143" s="79"/>
      <c r="F143" s="110">
        <v>3140.9</v>
      </c>
      <c r="G143" s="110">
        <v>1970</v>
      </c>
      <c r="H143" s="1">
        <f t="shared" si="17"/>
        <v>16406808.73</v>
      </c>
      <c r="I143" s="1">
        <v>0</v>
      </c>
      <c r="J143" s="1">
        <v>0</v>
      </c>
      <c r="K143" s="1">
        <f>ROUND(4075.29*G143*1.015,2)</f>
        <v>8148746.1200000001</v>
      </c>
      <c r="L143" s="1">
        <v>0</v>
      </c>
      <c r="M143" s="1">
        <v>7859582.4900000002</v>
      </c>
      <c r="N143" s="1">
        <v>0</v>
      </c>
      <c r="O143" s="1">
        <v>398480.12</v>
      </c>
      <c r="P143" s="1">
        <v>0</v>
      </c>
      <c r="Q143" s="1">
        <v>0</v>
      </c>
      <c r="R143" s="1">
        <v>0</v>
      </c>
      <c r="S143" s="1">
        <f>H143</f>
        <v>16406808.73</v>
      </c>
      <c r="T143" s="79">
        <v>2020</v>
      </c>
      <c r="U143" s="79">
        <v>2022</v>
      </c>
    </row>
    <row r="144" spans="1:21" ht="15.75">
      <c r="A144" s="79">
        <f t="shared" si="25"/>
        <v>119</v>
      </c>
      <c r="B144" s="186" t="s">
        <v>161</v>
      </c>
      <c r="C144" s="81">
        <v>1954</v>
      </c>
      <c r="D144" s="79"/>
      <c r="E144" s="79"/>
      <c r="F144" s="110">
        <v>2643</v>
      </c>
      <c r="G144" s="110">
        <v>1836.3</v>
      </c>
      <c r="H144" s="1">
        <f t="shared" ref="H144:H214" si="26">I144+J144+K144+L144+M144+N144+O144</f>
        <v>7694451.04</v>
      </c>
      <c r="I144" s="1">
        <v>0</v>
      </c>
      <c r="J144" s="1">
        <v>0</v>
      </c>
      <c r="K144" s="1">
        <f>ROUND(4075.29*G144*1.015,2)</f>
        <v>7595706.8499999996</v>
      </c>
      <c r="L144" s="1">
        <v>0</v>
      </c>
      <c r="M144" s="1">
        <v>0</v>
      </c>
      <c r="N144" s="1">
        <v>0</v>
      </c>
      <c r="O144" s="1">
        <f>ROUND(K144*1.3%,2)</f>
        <v>98744.19</v>
      </c>
      <c r="P144" s="1">
        <v>0</v>
      </c>
      <c r="Q144" s="1">
        <v>0</v>
      </c>
      <c r="R144" s="1">
        <v>0</v>
      </c>
      <c r="S144" s="1">
        <f>H144</f>
        <v>7694451.04</v>
      </c>
      <c r="T144" s="79">
        <v>2020</v>
      </c>
      <c r="U144" s="79">
        <v>2022</v>
      </c>
    </row>
    <row r="145" spans="1:21" ht="15.75">
      <c r="A145" s="79">
        <f t="shared" si="25"/>
        <v>120</v>
      </c>
      <c r="B145" s="186" t="s">
        <v>162</v>
      </c>
      <c r="C145" s="81">
        <v>1965</v>
      </c>
      <c r="D145" s="79"/>
      <c r="E145" s="79"/>
      <c r="F145" s="110">
        <v>2584.1999999999998</v>
      </c>
      <c r="G145" s="110">
        <v>1758.5</v>
      </c>
      <c r="H145" s="1">
        <f t="shared" si="26"/>
        <v>1016324.71</v>
      </c>
      <c r="I145" s="1">
        <v>961324.71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55000</v>
      </c>
      <c r="P145" s="1">
        <v>0</v>
      </c>
      <c r="Q145" s="1">
        <v>1016324.71</v>
      </c>
      <c r="R145" s="1">
        <v>0</v>
      </c>
      <c r="S145" s="1">
        <v>0</v>
      </c>
      <c r="T145" s="79">
        <v>2020</v>
      </c>
      <c r="U145" s="79">
        <v>2021</v>
      </c>
    </row>
    <row r="146" spans="1:21" ht="15.75">
      <c r="A146" s="79">
        <f t="shared" si="25"/>
        <v>121</v>
      </c>
      <c r="B146" s="186" t="s">
        <v>163</v>
      </c>
      <c r="C146" s="81">
        <v>1966</v>
      </c>
      <c r="D146" s="79"/>
      <c r="E146" s="79"/>
      <c r="F146" s="110">
        <v>2504.5</v>
      </c>
      <c r="G146" s="109">
        <v>2504.5</v>
      </c>
      <c r="H146" s="1">
        <f t="shared" si="26"/>
        <v>1016324.71</v>
      </c>
      <c r="I146" s="1">
        <f>ROUND(947117.94*1.015,2)</f>
        <v>961324.71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55000</v>
      </c>
      <c r="P146" s="1">
        <v>0</v>
      </c>
      <c r="Q146" s="1">
        <v>1016324.71</v>
      </c>
      <c r="R146" s="1">
        <v>0</v>
      </c>
      <c r="S146" s="1">
        <v>0</v>
      </c>
      <c r="T146" s="79">
        <v>2020</v>
      </c>
      <c r="U146" s="79">
        <v>2021</v>
      </c>
    </row>
    <row r="147" spans="1:21" ht="15.75">
      <c r="A147" s="79">
        <f t="shared" si="25"/>
        <v>122</v>
      </c>
      <c r="B147" s="186" t="s">
        <v>164</v>
      </c>
      <c r="C147" s="81">
        <v>1969</v>
      </c>
      <c r="D147" s="79"/>
      <c r="E147" s="79"/>
      <c r="F147" s="110">
        <v>2730</v>
      </c>
      <c r="G147" s="110">
        <v>2730</v>
      </c>
      <c r="H147" s="1">
        <f t="shared" si="26"/>
        <v>1016324.71</v>
      </c>
      <c r="I147" s="1">
        <f>ROUND(947117.94*1.015,2)</f>
        <v>961324.71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55000</v>
      </c>
      <c r="P147" s="1"/>
      <c r="Q147" s="1">
        <v>1016324.71</v>
      </c>
      <c r="R147" s="1">
        <v>0</v>
      </c>
      <c r="S147" s="1">
        <v>0</v>
      </c>
      <c r="T147" s="79">
        <v>2020</v>
      </c>
      <c r="U147" s="79">
        <v>2021</v>
      </c>
    </row>
    <row r="148" spans="1:21" ht="15.75">
      <c r="A148" s="79">
        <f t="shared" si="25"/>
        <v>123</v>
      </c>
      <c r="B148" s="186" t="s">
        <v>165</v>
      </c>
      <c r="C148" s="81">
        <v>1963</v>
      </c>
      <c r="D148" s="79"/>
      <c r="E148" s="79"/>
      <c r="F148" s="110">
        <v>2730</v>
      </c>
      <c r="G148" s="110">
        <v>2730</v>
      </c>
      <c r="H148" s="1">
        <f t="shared" si="26"/>
        <v>1016324.71</v>
      </c>
      <c r="I148" s="1">
        <f>ROUND(947117.94*1.015,2)</f>
        <v>961324.71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55000</v>
      </c>
      <c r="P148" s="1"/>
      <c r="Q148" s="1">
        <v>1016324.71</v>
      </c>
      <c r="R148" s="1">
        <v>0</v>
      </c>
      <c r="S148" s="1">
        <v>0</v>
      </c>
      <c r="T148" s="79">
        <v>2020</v>
      </c>
      <c r="U148" s="79">
        <v>2021</v>
      </c>
    </row>
    <row r="149" spans="1:21" ht="15.75">
      <c r="A149" s="79">
        <f t="shared" si="25"/>
        <v>124</v>
      </c>
      <c r="B149" s="186" t="s">
        <v>166</v>
      </c>
      <c r="C149" s="79">
        <v>1964</v>
      </c>
      <c r="D149" s="79"/>
      <c r="E149" s="79"/>
      <c r="F149" s="114">
        <v>2757.6</v>
      </c>
      <c r="G149" s="109">
        <v>2297.6</v>
      </c>
      <c r="H149" s="1">
        <f t="shared" si="26"/>
        <v>1016324.71</v>
      </c>
      <c r="I149" s="1">
        <f>ROUND(947117.94*1.015,2)</f>
        <v>961324.71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55000</v>
      </c>
      <c r="P149" s="1">
        <v>0</v>
      </c>
      <c r="Q149" s="1">
        <v>0</v>
      </c>
      <c r="R149" s="1">
        <v>0</v>
      </c>
      <c r="S149" s="1">
        <f>H149</f>
        <v>1016324.71</v>
      </c>
      <c r="T149" s="79">
        <v>2020</v>
      </c>
      <c r="U149" s="79">
        <v>2022</v>
      </c>
    </row>
    <row r="150" spans="1:21" ht="15.75">
      <c r="A150" s="79">
        <f t="shared" si="25"/>
        <v>125</v>
      </c>
      <c r="B150" s="186" t="s">
        <v>167</v>
      </c>
      <c r="C150" s="81">
        <v>1964</v>
      </c>
      <c r="D150" s="79"/>
      <c r="E150" s="79"/>
      <c r="F150" s="110">
        <v>1773.6</v>
      </c>
      <c r="G150" s="109">
        <v>1571.8</v>
      </c>
      <c r="H150" s="1">
        <f t="shared" si="26"/>
        <v>1016324.71</v>
      </c>
      <c r="I150" s="1">
        <f>ROUND(947117.94*1.015,2)</f>
        <v>961324.71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55000</v>
      </c>
      <c r="P150" s="1">
        <v>0</v>
      </c>
      <c r="Q150" s="1">
        <v>0</v>
      </c>
      <c r="R150" s="1">
        <v>0</v>
      </c>
      <c r="S150" s="1">
        <f>H150</f>
        <v>1016324.71</v>
      </c>
      <c r="T150" s="79">
        <v>2020</v>
      </c>
      <c r="U150" s="79">
        <v>2022</v>
      </c>
    </row>
    <row r="151" spans="1:21" ht="15.75">
      <c r="A151" s="79">
        <f t="shared" si="25"/>
        <v>126</v>
      </c>
      <c r="B151" s="186" t="s">
        <v>168</v>
      </c>
      <c r="C151" s="81">
        <v>1977</v>
      </c>
      <c r="D151" s="109"/>
      <c r="E151" s="109"/>
      <c r="F151" s="109">
        <v>3687.7</v>
      </c>
      <c r="G151" s="109">
        <v>2983.83</v>
      </c>
      <c r="H151" s="1">
        <f t="shared" si="26"/>
        <v>2400000</v>
      </c>
      <c r="I151" s="1">
        <v>0</v>
      </c>
      <c r="J151" s="1">
        <f>1*2400000</f>
        <v>2400000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f>J151*20%</f>
        <v>480000</v>
      </c>
      <c r="R151" s="1">
        <v>0</v>
      </c>
      <c r="S151" s="1">
        <f>J151*80%</f>
        <v>1920000</v>
      </c>
      <c r="T151" s="79">
        <v>2020</v>
      </c>
      <c r="U151" s="79">
        <v>2022</v>
      </c>
    </row>
    <row r="152" spans="1:21" ht="15.75">
      <c r="A152" s="79">
        <f t="shared" si="25"/>
        <v>127</v>
      </c>
      <c r="B152" s="186" t="s">
        <v>169</v>
      </c>
      <c r="C152" s="81">
        <v>1976</v>
      </c>
      <c r="D152" s="109"/>
      <c r="E152" s="109"/>
      <c r="F152" s="109">
        <v>4481.2</v>
      </c>
      <c r="G152" s="109">
        <v>3955.83</v>
      </c>
      <c r="H152" s="1">
        <f t="shared" si="26"/>
        <v>4800000</v>
      </c>
      <c r="I152" s="1">
        <v>0</v>
      </c>
      <c r="J152" s="1">
        <f>2*2400000</f>
        <v>4800000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f>J152*20%</f>
        <v>960000</v>
      </c>
      <c r="R152" s="1">
        <v>0</v>
      </c>
      <c r="S152" s="1">
        <f>J152*80%</f>
        <v>3840000</v>
      </c>
      <c r="T152" s="79">
        <v>2020</v>
      </c>
      <c r="U152" s="79">
        <v>2022</v>
      </c>
    </row>
    <row r="153" spans="1:21" ht="15.75">
      <c r="A153" s="79">
        <f t="shared" si="25"/>
        <v>128</v>
      </c>
      <c r="B153" s="186" t="s">
        <v>170</v>
      </c>
      <c r="C153" s="81">
        <v>1977</v>
      </c>
      <c r="D153" s="109"/>
      <c r="E153" s="109"/>
      <c r="F153" s="109">
        <v>3739.7</v>
      </c>
      <c r="G153" s="109">
        <v>3069.27</v>
      </c>
      <c r="H153" s="1">
        <f t="shared" si="26"/>
        <v>2400000</v>
      </c>
      <c r="I153" s="1">
        <v>0</v>
      </c>
      <c r="J153" s="1">
        <f>1*2400000</f>
        <v>2400000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f>J153*20%</f>
        <v>480000</v>
      </c>
      <c r="R153" s="1">
        <v>0</v>
      </c>
      <c r="S153" s="1">
        <f>J153*80%</f>
        <v>1920000</v>
      </c>
      <c r="T153" s="79">
        <v>2020</v>
      </c>
      <c r="U153" s="79">
        <v>2022</v>
      </c>
    </row>
    <row r="154" spans="1:21" ht="15.75">
      <c r="A154" s="79">
        <f t="shared" si="25"/>
        <v>129</v>
      </c>
      <c r="B154" s="186" t="s">
        <v>171</v>
      </c>
      <c r="C154" s="81">
        <v>1976</v>
      </c>
      <c r="D154" s="109"/>
      <c r="E154" s="109"/>
      <c r="F154" s="109">
        <v>4488.3999999999996</v>
      </c>
      <c r="G154" s="109">
        <v>3848.5</v>
      </c>
      <c r="H154" s="1">
        <f t="shared" si="26"/>
        <v>4800000</v>
      </c>
      <c r="I154" s="1">
        <v>0</v>
      </c>
      <c r="J154" s="1">
        <f>2*2400000</f>
        <v>4800000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f>J154*20%</f>
        <v>960000</v>
      </c>
      <c r="R154" s="1">
        <v>0</v>
      </c>
      <c r="S154" s="1">
        <f>J154*80%</f>
        <v>3840000</v>
      </c>
      <c r="T154" s="79">
        <v>2020</v>
      </c>
      <c r="U154" s="79">
        <v>2022</v>
      </c>
    </row>
    <row r="155" spans="1:21" ht="15.75">
      <c r="A155" s="79">
        <f t="shared" si="25"/>
        <v>130</v>
      </c>
      <c r="B155" s="186" t="s">
        <v>172</v>
      </c>
      <c r="C155" s="81">
        <v>1975</v>
      </c>
      <c r="D155" s="109"/>
      <c r="E155" s="109"/>
      <c r="F155" s="109">
        <v>4510</v>
      </c>
      <c r="G155" s="109">
        <v>3882.5</v>
      </c>
      <c r="H155" s="1">
        <f t="shared" si="26"/>
        <v>4800000</v>
      </c>
      <c r="I155" s="1">
        <v>0</v>
      </c>
      <c r="J155" s="1">
        <f>2*2400000</f>
        <v>4800000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f>J155*20%</f>
        <v>960000</v>
      </c>
      <c r="R155" s="1">
        <v>0</v>
      </c>
      <c r="S155" s="1">
        <f>J155*80%</f>
        <v>3840000</v>
      </c>
      <c r="T155" s="79">
        <v>2020</v>
      </c>
      <c r="U155" s="79">
        <v>2022</v>
      </c>
    </row>
    <row r="156" spans="1:21" ht="15.75">
      <c r="A156" s="79">
        <f t="shared" si="25"/>
        <v>131</v>
      </c>
      <c r="B156" s="186" t="s">
        <v>173</v>
      </c>
      <c r="C156" s="81">
        <v>1975</v>
      </c>
      <c r="D156" s="109"/>
      <c r="E156" s="109"/>
      <c r="F156" s="109">
        <v>9143.7000000000007</v>
      </c>
      <c r="G156" s="109">
        <v>8198.7999999999993</v>
      </c>
      <c r="H156" s="1">
        <f t="shared" si="26"/>
        <v>7200000</v>
      </c>
      <c r="I156" s="1">
        <v>0</v>
      </c>
      <c r="J156" s="1">
        <f>3*2400000</f>
        <v>7200000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f>J156*20%+I156*99%</f>
        <v>1440000</v>
      </c>
      <c r="R156" s="1">
        <v>0</v>
      </c>
      <c r="S156" s="1">
        <f>J156*80%+I156*1%</f>
        <v>5760000</v>
      </c>
      <c r="T156" s="79">
        <v>2020</v>
      </c>
      <c r="U156" s="79">
        <v>2022</v>
      </c>
    </row>
    <row r="157" spans="1:21" ht="15.75">
      <c r="A157" s="79">
        <f t="shared" si="25"/>
        <v>132</v>
      </c>
      <c r="B157" s="186" t="s">
        <v>174</v>
      </c>
      <c r="C157" s="81">
        <v>1979</v>
      </c>
      <c r="D157" s="109"/>
      <c r="E157" s="109"/>
      <c r="F157" s="109">
        <v>2584</v>
      </c>
      <c r="G157" s="109">
        <v>2041.3</v>
      </c>
      <c r="H157" s="1">
        <f t="shared" si="26"/>
        <v>2400000</v>
      </c>
      <c r="I157" s="1">
        <v>0</v>
      </c>
      <c r="J157" s="1">
        <f>1*2400000</f>
        <v>2400000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f t="shared" ref="Q157:Q167" si="27">J157*20%</f>
        <v>480000</v>
      </c>
      <c r="R157" s="1">
        <v>0</v>
      </c>
      <c r="S157" s="1">
        <f t="shared" ref="S157:S167" si="28">J157*80%</f>
        <v>1920000</v>
      </c>
      <c r="T157" s="79">
        <v>2020</v>
      </c>
      <c r="U157" s="79">
        <v>2022</v>
      </c>
    </row>
    <row r="158" spans="1:21" ht="15.75">
      <c r="A158" s="79">
        <f t="shared" si="25"/>
        <v>133</v>
      </c>
      <c r="B158" s="186" t="s">
        <v>175</v>
      </c>
      <c r="C158" s="81">
        <v>1978</v>
      </c>
      <c r="D158" s="109"/>
      <c r="E158" s="109"/>
      <c r="F158" s="109">
        <v>8848.2999999999993</v>
      </c>
      <c r="G158" s="109">
        <v>7651.1</v>
      </c>
      <c r="H158" s="1">
        <f t="shared" si="26"/>
        <v>4800000</v>
      </c>
      <c r="I158" s="1">
        <v>0</v>
      </c>
      <c r="J158" s="1">
        <f>2*2400000</f>
        <v>4800000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f t="shared" si="27"/>
        <v>960000</v>
      </c>
      <c r="R158" s="1">
        <v>0</v>
      </c>
      <c r="S158" s="1">
        <f t="shared" si="28"/>
        <v>3840000</v>
      </c>
      <c r="T158" s="79">
        <v>2020</v>
      </c>
      <c r="U158" s="79">
        <v>2022</v>
      </c>
    </row>
    <row r="159" spans="1:21" ht="15.75">
      <c r="A159" s="79">
        <f t="shared" si="25"/>
        <v>134</v>
      </c>
      <c r="B159" s="186" t="s">
        <v>176</v>
      </c>
      <c r="C159" s="81">
        <v>1978</v>
      </c>
      <c r="D159" s="109"/>
      <c r="E159" s="109"/>
      <c r="F159" s="109">
        <v>4468.6000000000004</v>
      </c>
      <c r="G159" s="109">
        <v>3725.3</v>
      </c>
      <c r="H159" s="1">
        <f t="shared" si="26"/>
        <v>9600000</v>
      </c>
      <c r="I159" s="1">
        <v>0</v>
      </c>
      <c r="J159" s="1">
        <f>4*2400000</f>
        <v>9600000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f t="shared" si="27"/>
        <v>1920000</v>
      </c>
      <c r="R159" s="1">
        <v>0</v>
      </c>
      <c r="S159" s="1">
        <f t="shared" si="28"/>
        <v>7680000</v>
      </c>
      <c r="T159" s="79">
        <v>2020</v>
      </c>
      <c r="U159" s="79">
        <v>2022</v>
      </c>
    </row>
    <row r="160" spans="1:21" ht="15.75">
      <c r="A160" s="79">
        <f t="shared" si="25"/>
        <v>135</v>
      </c>
      <c r="B160" s="186" t="s">
        <v>177</v>
      </c>
      <c r="C160" s="81">
        <v>1979</v>
      </c>
      <c r="D160" s="109"/>
      <c r="E160" s="109"/>
      <c r="F160" s="109">
        <v>4509.3</v>
      </c>
      <c r="G160" s="109">
        <v>3864.8</v>
      </c>
      <c r="H160" s="1">
        <f t="shared" si="26"/>
        <v>2400000</v>
      </c>
      <c r="I160" s="1">
        <v>0</v>
      </c>
      <c r="J160" s="1">
        <f>1*2400000</f>
        <v>2400000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f t="shared" si="27"/>
        <v>480000</v>
      </c>
      <c r="R160" s="1">
        <v>0</v>
      </c>
      <c r="S160" s="1">
        <f t="shared" si="28"/>
        <v>1920000</v>
      </c>
      <c r="T160" s="79">
        <v>2020</v>
      </c>
      <c r="U160" s="79">
        <v>2022</v>
      </c>
    </row>
    <row r="161" spans="1:21" ht="15.75">
      <c r="A161" s="79">
        <f t="shared" si="25"/>
        <v>136</v>
      </c>
      <c r="B161" s="186" t="s">
        <v>178</v>
      </c>
      <c r="C161" s="81">
        <v>1978</v>
      </c>
      <c r="D161" s="109"/>
      <c r="E161" s="109"/>
      <c r="F161" s="109">
        <v>2964.4</v>
      </c>
      <c r="G161" s="109">
        <v>2818.3</v>
      </c>
      <c r="H161" s="1">
        <f t="shared" si="26"/>
        <v>4800000</v>
      </c>
      <c r="I161" s="1">
        <v>0</v>
      </c>
      <c r="J161" s="1">
        <f>2*2400000</f>
        <v>4800000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f>J161*20%+I161*99%</f>
        <v>960000</v>
      </c>
      <c r="R161" s="1">
        <v>0</v>
      </c>
      <c r="S161" s="1">
        <f>J161*80%+I161*1%</f>
        <v>3840000</v>
      </c>
      <c r="T161" s="79">
        <v>2020</v>
      </c>
      <c r="U161" s="79">
        <v>2022</v>
      </c>
    </row>
    <row r="162" spans="1:21" ht="15.75">
      <c r="A162" s="79">
        <f t="shared" si="25"/>
        <v>137</v>
      </c>
      <c r="B162" s="186" t="s">
        <v>179</v>
      </c>
      <c r="C162" s="81">
        <v>1979</v>
      </c>
      <c r="D162" s="109"/>
      <c r="E162" s="109"/>
      <c r="F162" s="109">
        <v>6039.2</v>
      </c>
      <c r="G162" s="109">
        <v>5224.3999999999996</v>
      </c>
      <c r="H162" s="1">
        <f t="shared" si="26"/>
        <v>2400000</v>
      </c>
      <c r="I162" s="1">
        <v>0</v>
      </c>
      <c r="J162" s="1">
        <f>1*2400000</f>
        <v>2400000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f t="shared" si="27"/>
        <v>480000</v>
      </c>
      <c r="R162" s="1">
        <v>0</v>
      </c>
      <c r="S162" s="1">
        <f t="shared" si="28"/>
        <v>1920000</v>
      </c>
      <c r="T162" s="79">
        <v>2020</v>
      </c>
      <c r="U162" s="79">
        <v>2022</v>
      </c>
    </row>
    <row r="163" spans="1:21" ht="15.75">
      <c r="A163" s="79">
        <f t="shared" si="25"/>
        <v>138</v>
      </c>
      <c r="B163" s="186" t="s">
        <v>180</v>
      </c>
      <c r="C163" s="81">
        <v>1979</v>
      </c>
      <c r="D163" s="109"/>
      <c r="E163" s="109"/>
      <c r="F163" s="109">
        <v>6039.2</v>
      </c>
      <c r="G163" s="109">
        <v>5224.3999999999996</v>
      </c>
      <c r="H163" s="1">
        <f t="shared" si="26"/>
        <v>4800000</v>
      </c>
      <c r="I163" s="1">
        <v>0</v>
      </c>
      <c r="J163" s="1">
        <f>2*2400000</f>
        <v>4800000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f t="shared" si="27"/>
        <v>960000</v>
      </c>
      <c r="R163" s="1">
        <v>0</v>
      </c>
      <c r="S163" s="1">
        <f t="shared" si="28"/>
        <v>3840000</v>
      </c>
      <c r="T163" s="79">
        <v>2020</v>
      </c>
      <c r="U163" s="79">
        <v>2022</v>
      </c>
    </row>
    <row r="164" spans="1:21" ht="15.75">
      <c r="A164" s="79">
        <f t="shared" si="25"/>
        <v>139</v>
      </c>
      <c r="B164" s="186" t="s">
        <v>181</v>
      </c>
      <c r="C164" s="81">
        <v>1975</v>
      </c>
      <c r="D164" s="109"/>
      <c r="E164" s="109"/>
      <c r="F164" s="109">
        <v>9160.5</v>
      </c>
      <c r="G164" s="109">
        <v>7895.2</v>
      </c>
      <c r="H164" s="1">
        <f t="shared" si="26"/>
        <v>7200000</v>
      </c>
      <c r="I164" s="1">
        <v>0</v>
      </c>
      <c r="J164" s="1">
        <f>3*2400000</f>
        <v>7200000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f t="shared" si="27"/>
        <v>1440000</v>
      </c>
      <c r="R164" s="1">
        <v>0</v>
      </c>
      <c r="S164" s="1">
        <f t="shared" si="28"/>
        <v>5760000</v>
      </c>
      <c r="T164" s="79">
        <v>2020</v>
      </c>
      <c r="U164" s="79">
        <v>2022</v>
      </c>
    </row>
    <row r="165" spans="1:21" ht="15.75">
      <c r="A165" s="79">
        <f t="shared" si="25"/>
        <v>140</v>
      </c>
      <c r="B165" s="186" t="s">
        <v>182</v>
      </c>
      <c r="C165" s="81">
        <v>1979</v>
      </c>
      <c r="D165" s="109"/>
      <c r="E165" s="109"/>
      <c r="F165" s="109">
        <v>4450.8</v>
      </c>
      <c r="G165" s="109">
        <v>3809.7</v>
      </c>
      <c r="H165" s="1">
        <f t="shared" si="26"/>
        <v>4800000</v>
      </c>
      <c r="I165" s="1">
        <v>0</v>
      </c>
      <c r="J165" s="1">
        <f>2*2400000</f>
        <v>4800000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f t="shared" si="27"/>
        <v>960000</v>
      </c>
      <c r="R165" s="1">
        <v>0</v>
      </c>
      <c r="S165" s="1">
        <f t="shared" si="28"/>
        <v>3840000</v>
      </c>
      <c r="T165" s="79">
        <v>2020</v>
      </c>
      <c r="U165" s="79">
        <v>2022</v>
      </c>
    </row>
    <row r="166" spans="1:21" ht="15.75">
      <c r="A166" s="79">
        <f t="shared" si="25"/>
        <v>141</v>
      </c>
      <c r="B166" s="186" t="s">
        <v>183</v>
      </c>
      <c r="C166" s="81">
        <v>1979</v>
      </c>
      <c r="D166" s="109"/>
      <c r="E166" s="109"/>
      <c r="F166" s="109">
        <v>2381.5</v>
      </c>
      <c r="G166" s="109">
        <v>2381.5</v>
      </c>
      <c r="H166" s="1">
        <f t="shared" si="26"/>
        <v>2400000</v>
      </c>
      <c r="I166" s="1">
        <v>0</v>
      </c>
      <c r="J166" s="1">
        <f>1*2400000</f>
        <v>2400000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f t="shared" si="27"/>
        <v>480000</v>
      </c>
      <c r="R166" s="1">
        <v>0</v>
      </c>
      <c r="S166" s="1">
        <f t="shared" si="28"/>
        <v>1920000</v>
      </c>
      <c r="T166" s="79">
        <v>2020</v>
      </c>
      <c r="U166" s="79">
        <v>2022</v>
      </c>
    </row>
    <row r="167" spans="1:21" ht="15.75">
      <c r="A167" s="79">
        <f t="shared" si="25"/>
        <v>142</v>
      </c>
      <c r="B167" s="186" t="s">
        <v>184</v>
      </c>
      <c r="C167" s="81">
        <v>1978</v>
      </c>
      <c r="D167" s="109"/>
      <c r="E167" s="109"/>
      <c r="F167" s="109">
        <v>4502.3999999999996</v>
      </c>
      <c r="G167" s="109">
        <v>3846.2</v>
      </c>
      <c r="H167" s="1">
        <f t="shared" si="26"/>
        <v>4800000</v>
      </c>
      <c r="I167" s="1">
        <v>0</v>
      </c>
      <c r="J167" s="1">
        <f>2*2400000</f>
        <v>4800000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f t="shared" si="27"/>
        <v>960000</v>
      </c>
      <c r="R167" s="1">
        <v>0</v>
      </c>
      <c r="S167" s="1">
        <f t="shared" si="28"/>
        <v>3840000</v>
      </c>
      <c r="T167" s="79">
        <v>2020</v>
      </c>
      <c r="U167" s="79">
        <v>2022</v>
      </c>
    </row>
    <row r="168" spans="1:21" ht="15.75">
      <c r="A168" s="79">
        <f t="shared" si="25"/>
        <v>143</v>
      </c>
      <c r="B168" s="186" t="s">
        <v>185</v>
      </c>
      <c r="C168" s="81">
        <v>1978</v>
      </c>
      <c r="D168" s="109"/>
      <c r="E168" s="109"/>
      <c r="F168" s="109">
        <v>3597.2</v>
      </c>
      <c r="G168" s="109">
        <v>2800.9</v>
      </c>
      <c r="H168" s="1">
        <f t="shared" si="26"/>
        <v>4800000</v>
      </c>
      <c r="I168" s="1">
        <v>0</v>
      </c>
      <c r="J168" s="1">
        <f>2*2400000</f>
        <v>4800000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f>J168*20%+I168*99%</f>
        <v>960000</v>
      </c>
      <c r="R168" s="1">
        <v>0</v>
      </c>
      <c r="S168" s="1">
        <f>J168*80%+I168*1%</f>
        <v>3840000</v>
      </c>
      <c r="T168" s="79">
        <v>2020</v>
      </c>
      <c r="U168" s="79">
        <v>2022</v>
      </c>
    </row>
    <row r="169" spans="1:21" ht="15.75">
      <c r="A169" s="79">
        <f t="shared" si="25"/>
        <v>144</v>
      </c>
      <c r="B169" s="186" t="s">
        <v>186</v>
      </c>
      <c r="C169" s="81">
        <v>1979</v>
      </c>
      <c r="D169" s="109"/>
      <c r="E169" s="109"/>
      <c r="F169" s="109">
        <v>4537.8999999999996</v>
      </c>
      <c r="G169" s="109">
        <v>3871.8</v>
      </c>
      <c r="H169" s="1">
        <f t="shared" si="26"/>
        <v>4800000</v>
      </c>
      <c r="I169" s="1">
        <v>0</v>
      </c>
      <c r="J169" s="1">
        <f>2*2400000</f>
        <v>4800000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f t="shared" ref="Q169:Q176" si="29">J169*20%</f>
        <v>960000</v>
      </c>
      <c r="R169" s="1">
        <v>0</v>
      </c>
      <c r="S169" s="1">
        <f t="shared" ref="S169:S176" si="30">J169*80%</f>
        <v>3840000</v>
      </c>
      <c r="T169" s="79">
        <v>2020</v>
      </c>
      <c r="U169" s="79">
        <v>2022</v>
      </c>
    </row>
    <row r="170" spans="1:21" ht="15.75">
      <c r="A170" s="79">
        <f t="shared" si="25"/>
        <v>145</v>
      </c>
      <c r="B170" s="186" t="s">
        <v>187</v>
      </c>
      <c r="C170" s="81">
        <v>1979</v>
      </c>
      <c r="D170" s="109"/>
      <c r="E170" s="109"/>
      <c r="F170" s="109">
        <v>3650.6</v>
      </c>
      <c r="G170" s="109">
        <v>2832.3</v>
      </c>
      <c r="H170" s="1">
        <f t="shared" si="26"/>
        <v>2400000</v>
      </c>
      <c r="I170" s="1">
        <v>0</v>
      </c>
      <c r="J170" s="1">
        <f>1*2400000</f>
        <v>2400000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f t="shared" si="29"/>
        <v>480000</v>
      </c>
      <c r="R170" s="1">
        <v>0</v>
      </c>
      <c r="S170" s="1">
        <f t="shared" si="30"/>
        <v>1920000</v>
      </c>
      <c r="T170" s="79">
        <v>2020</v>
      </c>
      <c r="U170" s="79">
        <v>2022</v>
      </c>
    </row>
    <row r="171" spans="1:21" ht="15.75">
      <c r="A171" s="79">
        <f t="shared" si="25"/>
        <v>146</v>
      </c>
      <c r="B171" s="186" t="s">
        <v>188</v>
      </c>
      <c r="C171" s="81">
        <v>1979</v>
      </c>
      <c r="D171" s="109"/>
      <c r="E171" s="109"/>
      <c r="F171" s="109">
        <v>13054</v>
      </c>
      <c r="G171" s="109">
        <v>11807.27</v>
      </c>
      <c r="H171" s="1">
        <f t="shared" si="26"/>
        <v>14400000</v>
      </c>
      <c r="I171" s="1">
        <v>0</v>
      </c>
      <c r="J171" s="1">
        <f>6*2400000</f>
        <v>14400000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f t="shared" si="29"/>
        <v>2880000</v>
      </c>
      <c r="R171" s="1">
        <v>0</v>
      </c>
      <c r="S171" s="1">
        <f t="shared" si="30"/>
        <v>11520000</v>
      </c>
      <c r="T171" s="79">
        <v>2020</v>
      </c>
      <c r="U171" s="79">
        <v>2022</v>
      </c>
    </row>
    <row r="172" spans="1:21" ht="15.75">
      <c r="A172" s="79">
        <f t="shared" si="25"/>
        <v>147</v>
      </c>
      <c r="B172" s="186" t="s">
        <v>189</v>
      </c>
      <c r="C172" s="81">
        <v>1979</v>
      </c>
      <c r="D172" s="109"/>
      <c r="E172" s="109"/>
      <c r="F172" s="109">
        <v>3636</v>
      </c>
      <c r="G172" s="109">
        <v>2741.5</v>
      </c>
      <c r="H172" s="1">
        <f t="shared" si="26"/>
        <v>2400000</v>
      </c>
      <c r="I172" s="1">
        <v>0</v>
      </c>
      <c r="J172" s="1">
        <f>1*2400000</f>
        <v>2400000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f t="shared" si="29"/>
        <v>480000</v>
      </c>
      <c r="R172" s="1">
        <v>0</v>
      </c>
      <c r="S172" s="1">
        <f t="shared" si="30"/>
        <v>1920000</v>
      </c>
      <c r="T172" s="79">
        <v>2020</v>
      </c>
      <c r="U172" s="79">
        <v>2022</v>
      </c>
    </row>
    <row r="173" spans="1:21" ht="15.75">
      <c r="A173" s="79">
        <f t="shared" si="25"/>
        <v>148</v>
      </c>
      <c r="B173" s="186" t="s">
        <v>190</v>
      </c>
      <c r="C173" s="81">
        <v>1979</v>
      </c>
      <c r="D173" s="109"/>
      <c r="E173" s="109"/>
      <c r="F173" s="109">
        <v>4510.2</v>
      </c>
      <c r="G173" s="109">
        <v>3860.3</v>
      </c>
      <c r="H173" s="1">
        <f t="shared" si="26"/>
        <v>4800000</v>
      </c>
      <c r="I173" s="1">
        <v>0</v>
      </c>
      <c r="J173" s="1">
        <f>2*2400000</f>
        <v>4800000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f t="shared" si="29"/>
        <v>960000</v>
      </c>
      <c r="R173" s="1">
        <v>0</v>
      </c>
      <c r="S173" s="1">
        <f t="shared" si="30"/>
        <v>3840000</v>
      </c>
      <c r="T173" s="79">
        <v>2020</v>
      </c>
      <c r="U173" s="79">
        <v>2022</v>
      </c>
    </row>
    <row r="174" spans="1:21" ht="15.75">
      <c r="A174" s="79">
        <f t="shared" si="25"/>
        <v>149</v>
      </c>
      <c r="B174" s="186" t="s">
        <v>191</v>
      </c>
      <c r="C174" s="81">
        <v>1979</v>
      </c>
      <c r="D174" s="109"/>
      <c r="E174" s="109"/>
      <c r="F174" s="109">
        <v>4480.8999999999996</v>
      </c>
      <c r="G174" s="109">
        <v>3839.7</v>
      </c>
      <c r="H174" s="1">
        <f t="shared" si="26"/>
        <v>4800000</v>
      </c>
      <c r="I174" s="1">
        <v>0</v>
      </c>
      <c r="J174" s="1">
        <f>2*2400000</f>
        <v>4800000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f t="shared" si="29"/>
        <v>960000</v>
      </c>
      <c r="R174" s="1">
        <v>0</v>
      </c>
      <c r="S174" s="1">
        <f t="shared" si="30"/>
        <v>3840000</v>
      </c>
      <c r="T174" s="79">
        <v>2020</v>
      </c>
      <c r="U174" s="79">
        <v>2022</v>
      </c>
    </row>
    <row r="175" spans="1:21" ht="15.75">
      <c r="A175" s="79">
        <f t="shared" si="25"/>
        <v>150</v>
      </c>
      <c r="B175" s="186" t="s">
        <v>192</v>
      </c>
      <c r="C175" s="81">
        <v>1979</v>
      </c>
      <c r="D175" s="109"/>
      <c r="E175" s="109"/>
      <c r="F175" s="109">
        <v>6128.9</v>
      </c>
      <c r="G175" s="109">
        <v>5305.2</v>
      </c>
      <c r="H175" s="1">
        <f t="shared" si="26"/>
        <v>2400000</v>
      </c>
      <c r="I175" s="1">
        <v>0</v>
      </c>
      <c r="J175" s="1">
        <f>1*2400000</f>
        <v>2400000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f t="shared" si="29"/>
        <v>480000</v>
      </c>
      <c r="R175" s="1">
        <v>0</v>
      </c>
      <c r="S175" s="1">
        <f t="shared" si="30"/>
        <v>1920000</v>
      </c>
      <c r="T175" s="79">
        <v>2020</v>
      </c>
      <c r="U175" s="79">
        <v>2022</v>
      </c>
    </row>
    <row r="176" spans="1:21" ht="15.75">
      <c r="A176" s="79">
        <f t="shared" si="25"/>
        <v>151</v>
      </c>
      <c r="B176" s="186" t="s">
        <v>193</v>
      </c>
      <c r="C176" s="81">
        <v>1979</v>
      </c>
      <c r="D176" s="109"/>
      <c r="E176" s="109"/>
      <c r="F176" s="109">
        <v>6110.3</v>
      </c>
      <c r="G176" s="109">
        <v>5273.9</v>
      </c>
      <c r="H176" s="1">
        <f t="shared" si="26"/>
        <v>4800000</v>
      </c>
      <c r="I176" s="1">
        <v>0</v>
      </c>
      <c r="J176" s="1">
        <f>2*2400000</f>
        <v>4800000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f t="shared" si="29"/>
        <v>960000</v>
      </c>
      <c r="R176" s="1">
        <v>0</v>
      </c>
      <c r="S176" s="1">
        <f t="shared" si="30"/>
        <v>3840000</v>
      </c>
      <c r="T176" s="79">
        <v>2020</v>
      </c>
      <c r="U176" s="79">
        <v>2022</v>
      </c>
    </row>
    <row r="177" spans="1:21" ht="15.75">
      <c r="A177" s="79">
        <f t="shared" si="25"/>
        <v>152</v>
      </c>
      <c r="B177" s="186" t="s">
        <v>194</v>
      </c>
      <c r="C177" s="81">
        <v>1977</v>
      </c>
      <c r="D177" s="109"/>
      <c r="E177" s="109"/>
      <c r="F177" s="109">
        <v>7320.3</v>
      </c>
      <c r="G177" s="109">
        <v>6470.8</v>
      </c>
      <c r="H177" s="1">
        <f t="shared" si="26"/>
        <v>1016324.71</v>
      </c>
      <c r="I177" s="1">
        <f>ROUND(947117.94*1.015,2)</f>
        <v>961324.71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55000</v>
      </c>
      <c r="P177" s="1">
        <v>0</v>
      </c>
      <c r="Q177" s="1">
        <v>1016324.71</v>
      </c>
      <c r="R177" s="1">
        <v>0</v>
      </c>
      <c r="S177" s="1">
        <v>0</v>
      </c>
      <c r="T177" s="79">
        <v>2020</v>
      </c>
      <c r="U177" s="79">
        <v>2021</v>
      </c>
    </row>
    <row r="178" spans="1:21" ht="15.75">
      <c r="A178" s="79">
        <f t="shared" si="25"/>
        <v>153</v>
      </c>
      <c r="B178" s="186" t="s">
        <v>195</v>
      </c>
      <c r="C178" s="81">
        <v>1951</v>
      </c>
      <c r="D178" s="109"/>
      <c r="E178" s="109"/>
      <c r="F178" s="109">
        <v>9121.7999999999993</v>
      </c>
      <c r="G178" s="109">
        <v>8043.5</v>
      </c>
      <c r="H178" s="1">
        <f t="shared" si="26"/>
        <v>4063358.47</v>
      </c>
      <c r="I178" s="1"/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4063358.47</v>
      </c>
      <c r="P178" s="1">
        <v>0</v>
      </c>
      <c r="Q178" s="1">
        <v>4063358.47</v>
      </c>
      <c r="R178" s="1">
        <v>0</v>
      </c>
      <c r="S178" s="1">
        <v>0</v>
      </c>
      <c r="T178" s="79">
        <v>2020</v>
      </c>
      <c r="U178" s="79">
        <v>2021</v>
      </c>
    </row>
    <row r="179" spans="1:21" ht="15.75">
      <c r="A179" s="79">
        <f t="shared" si="25"/>
        <v>154</v>
      </c>
      <c r="B179" s="186" t="s">
        <v>196</v>
      </c>
      <c r="C179" s="81">
        <v>1962</v>
      </c>
      <c r="D179" s="109"/>
      <c r="E179" s="109"/>
      <c r="F179" s="109">
        <v>3028.2</v>
      </c>
      <c r="G179" s="109">
        <v>2438.6</v>
      </c>
      <c r="H179" s="1">
        <f t="shared" si="26"/>
        <v>1016324.71</v>
      </c>
      <c r="I179" s="1">
        <f>ROUND(947117.94*1.015,2)</f>
        <v>961324.71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55000</v>
      </c>
      <c r="P179" s="1">
        <v>0</v>
      </c>
      <c r="Q179" s="1">
        <v>1016324.71</v>
      </c>
      <c r="R179" s="1">
        <v>0</v>
      </c>
      <c r="S179" s="1">
        <v>0</v>
      </c>
      <c r="T179" s="79">
        <v>2020</v>
      </c>
      <c r="U179" s="79">
        <v>2021</v>
      </c>
    </row>
    <row r="180" spans="1:21" ht="15.75">
      <c r="A180" s="79">
        <f t="shared" si="25"/>
        <v>155</v>
      </c>
      <c r="B180" s="186" t="s">
        <v>197</v>
      </c>
      <c r="C180" s="81">
        <v>1953</v>
      </c>
      <c r="D180" s="79"/>
      <c r="E180" s="79"/>
      <c r="F180" s="110">
        <v>1921.5</v>
      </c>
      <c r="G180" s="110">
        <v>1653.6</v>
      </c>
      <c r="H180" s="1">
        <f t="shared" si="26"/>
        <v>6976782.6900000004</v>
      </c>
      <c r="I180" s="1">
        <v>0</v>
      </c>
      <c r="J180" s="1">
        <v>0</v>
      </c>
      <c r="K180" s="1">
        <f>ROUND(4075.29*G180*1.015,2)-0.01</f>
        <v>6839983.0300000003</v>
      </c>
      <c r="L180" s="1">
        <v>0</v>
      </c>
      <c r="M180" s="1">
        <v>0</v>
      </c>
      <c r="N180" s="1">
        <v>0</v>
      </c>
      <c r="O180" s="1">
        <f>ROUND(K180*2%,2)</f>
        <v>136799.66</v>
      </c>
      <c r="P180" s="1">
        <v>0</v>
      </c>
      <c r="Q180" s="1">
        <f>I180*99%</f>
        <v>0</v>
      </c>
      <c r="R180" s="1">
        <v>0</v>
      </c>
      <c r="S180" s="1">
        <f>H180</f>
        <v>6976782.6900000004</v>
      </c>
      <c r="T180" s="79">
        <v>2020</v>
      </c>
      <c r="U180" s="79">
        <v>2022</v>
      </c>
    </row>
    <row r="181" spans="1:21" ht="15.75">
      <c r="A181" s="79">
        <f t="shared" si="25"/>
        <v>156</v>
      </c>
      <c r="B181" s="186" t="s">
        <v>198</v>
      </c>
      <c r="C181" s="81">
        <v>1950</v>
      </c>
      <c r="D181" s="79"/>
      <c r="E181" s="79"/>
      <c r="F181" s="110">
        <v>3132.3</v>
      </c>
      <c r="G181" s="110">
        <v>2096</v>
      </c>
      <c r="H181" s="1">
        <f t="shared" si="26"/>
        <v>14795427.390000001</v>
      </c>
      <c r="I181" s="1">
        <v>8348117.0999999996</v>
      </c>
      <c r="J181" s="1">
        <v>0</v>
      </c>
      <c r="K181" s="1">
        <f>ROUND(2757.62*G181*1.015,2)</f>
        <v>5866671.0899999999</v>
      </c>
      <c r="L181" s="1">
        <v>0</v>
      </c>
      <c r="M181" s="1">
        <v>0</v>
      </c>
      <c r="N181" s="1">
        <v>0</v>
      </c>
      <c r="O181" s="1">
        <f>ROUND(97018.8+(88446*4)+129836.4,2)</f>
        <v>580639.19999999995</v>
      </c>
      <c r="P181" s="1">
        <v>0</v>
      </c>
      <c r="Q181" s="1">
        <v>0</v>
      </c>
      <c r="R181" s="1">
        <v>0</v>
      </c>
      <c r="S181" s="1">
        <f t="shared" ref="S181:S200" si="31">H181</f>
        <v>14795427.390000001</v>
      </c>
      <c r="T181" s="79">
        <v>2020</v>
      </c>
      <c r="U181" s="79">
        <v>2022</v>
      </c>
    </row>
    <row r="182" spans="1:21" ht="15.75">
      <c r="A182" s="79">
        <f t="shared" si="25"/>
        <v>157</v>
      </c>
      <c r="B182" s="186" t="s">
        <v>199</v>
      </c>
      <c r="C182" s="81">
        <v>1978</v>
      </c>
      <c r="D182" s="79"/>
      <c r="E182" s="79"/>
      <c r="F182" s="110">
        <v>4129.5</v>
      </c>
      <c r="G182" s="110">
        <v>4129.5</v>
      </c>
      <c r="H182" s="1">
        <f t="shared" si="26"/>
        <v>1016324.71</v>
      </c>
      <c r="I182" s="1">
        <f>ROUND(947117.94*1.015,2)</f>
        <v>961324.71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55000</v>
      </c>
      <c r="P182" s="1">
        <v>0</v>
      </c>
      <c r="Q182" s="1">
        <v>1016324.71</v>
      </c>
      <c r="R182" s="1">
        <v>0</v>
      </c>
      <c r="S182" s="1">
        <v>0</v>
      </c>
      <c r="T182" s="79">
        <v>2020</v>
      </c>
      <c r="U182" s="79">
        <v>2021</v>
      </c>
    </row>
    <row r="183" spans="1:21" ht="15.75">
      <c r="A183" s="79">
        <f t="shared" si="25"/>
        <v>158</v>
      </c>
      <c r="B183" s="186" t="s">
        <v>200</v>
      </c>
      <c r="C183" s="81">
        <v>1967</v>
      </c>
      <c r="D183" s="79"/>
      <c r="E183" s="79"/>
      <c r="F183" s="110">
        <v>3705.2</v>
      </c>
      <c r="G183" s="110">
        <v>3387.4</v>
      </c>
      <c r="H183" s="1">
        <f t="shared" si="26"/>
        <v>1016324.71</v>
      </c>
      <c r="I183" s="1">
        <f>ROUND(947117.94*1.015,2)</f>
        <v>961324.71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55000</v>
      </c>
      <c r="P183" s="1">
        <v>0</v>
      </c>
      <c r="Q183" s="1">
        <v>1016324.71</v>
      </c>
      <c r="R183" s="1">
        <v>0</v>
      </c>
      <c r="S183" s="1">
        <v>0</v>
      </c>
      <c r="T183" s="79">
        <v>2020</v>
      </c>
      <c r="U183" s="79">
        <v>2021</v>
      </c>
    </row>
    <row r="184" spans="1:21" ht="15.75">
      <c r="A184" s="79">
        <f t="shared" si="25"/>
        <v>159</v>
      </c>
      <c r="B184" s="186" t="s">
        <v>201</v>
      </c>
      <c r="C184" s="81">
        <v>1970</v>
      </c>
      <c r="D184" s="79"/>
      <c r="E184" s="79"/>
      <c r="F184" s="110">
        <v>3456.9</v>
      </c>
      <c r="G184" s="110">
        <v>3412.3</v>
      </c>
      <c r="H184" s="1">
        <f t="shared" si="26"/>
        <v>1016324.71</v>
      </c>
      <c r="I184" s="1">
        <f>ROUND(947117.94*1.015,2)</f>
        <v>961324.71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55000</v>
      </c>
      <c r="P184" s="1">
        <v>0</v>
      </c>
      <c r="Q184" s="1">
        <v>1016324.71</v>
      </c>
      <c r="R184" s="1">
        <v>0</v>
      </c>
      <c r="S184" s="1">
        <v>0</v>
      </c>
      <c r="T184" s="79">
        <v>2020</v>
      </c>
      <c r="U184" s="79">
        <v>2021</v>
      </c>
    </row>
    <row r="185" spans="1:21" ht="15.75">
      <c r="A185" s="79">
        <f t="shared" si="25"/>
        <v>160</v>
      </c>
      <c r="B185" s="186" t="s">
        <v>202</v>
      </c>
      <c r="C185" s="81">
        <v>1970</v>
      </c>
      <c r="D185" s="79"/>
      <c r="E185" s="79"/>
      <c r="F185" s="110">
        <v>3452.1</v>
      </c>
      <c r="G185" s="110">
        <v>2400.1</v>
      </c>
      <c r="H185" s="1">
        <f t="shared" si="26"/>
        <v>1016324.71</v>
      </c>
      <c r="I185" s="1">
        <f>ROUND(947117.94*1.015,2)</f>
        <v>961324.71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55000</v>
      </c>
      <c r="P185" s="1">
        <v>0</v>
      </c>
      <c r="Q185" s="1">
        <v>1016324.71</v>
      </c>
      <c r="R185" s="1">
        <v>0</v>
      </c>
      <c r="S185" s="1">
        <v>0</v>
      </c>
      <c r="T185" s="79">
        <v>2020</v>
      </c>
      <c r="U185" s="79">
        <v>2021</v>
      </c>
    </row>
    <row r="186" spans="1:21" ht="15.75">
      <c r="A186" s="79">
        <f t="shared" si="25"/>
        <v>161</v>
      </c>
      <c r="B186" s="186" t="s">
        <v>203</v>
      </c>
      <c r="C186" s="81">
        <v>1953</v>
      </c>
      <c r="D186" s="79"/>
      <c r="E186" s="79"/>
      <c r="F186" s="110">
        <v>2507.6999999999998</v>
      </c>
      <c r="G186" s="110">
        <v>2246.1999999999998</v>
      </c>
      <c r="H186" s="1">
        <f t="shared" si="26"/>
        <v>1016324.71</v>
      </c>
      <c r="I186" s="1">
        <f>ROUND(947117.94*1.015,2)</f>
        <v>961324.71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55000</v>
      </c>
      <c r="P186" s="1">
        <v>0</v>
      </c>
      <c r="Q186" s="1">
        <v>1016324.71</v>
      </c>
      <c r="R186" s="1">
        <v>0</v>
      </c>
      <c r="S186" s="1">
        <v>0</v>
      </c>
      <c r="T186" s="79">
        <v>2020</v>
      </c>
      <c r="U186" s="79">
        <v>2021</v>
      </c>
    </row>
    <row r="187" spans="1:21" ht="15.75">
      <c r="A187" s="79">
        <f t="shared" si="25"/>
        <v>162</v>
      </c>
      <c r="B187" s="186" t="s">
        <v>204</v>
      </c>
      <c r="C187" s="81">
        <v>1960</v>
      </c>
      <c r="D187" s="79"/>
      <c r="E187" s="79"/>
      <c r="F187" s="110">
        <v>1691.2</v>
      </c>
      <c r="G187" s="110">
        <v>1392.7</v>
      </c>
      <c r="H187" s="1">
        <f t="shared" si="26"/>
        <v>5490554</v>
      </c>
      <c r="I187" s="1">
        <v>0</v>
      </c>
      <c r="J187" s="1">
        <v>0</v>
      </c>
      <c r="K187" s="1">
        <v>0</v>
      </c>
      <c r="L187" s="1">
        <f>296.65*G187*1.015</f>
        <v>419341.62</v>
      </c>
      <c r="M187" s="1">
        <f>2698.79*G187*1.015</f>
        <v>3814983.91</v>
      </c>
      <c r="N187" s="1">
        <f>812.52*G187*1.015</f>
        <v>1148570.55</v>
      </c>
      <c r="O187" s="1">
        <f>ROUND((L187+M187+N187)*2%,2)</f>
        <v>107657.92</v>
      </c>
      <c r="P187" s="1">
        <v>0</v>
      </c>
      <c r="Q187" s="1">
        <v>0</v>
      </c>
      <c r="R187" s="1">
        <v>0</v>
      </c>
      <c r="S187" s="1">
        <f t="shared" si="31"/>
        <v>5490554</v>
      </c>
      <c r="T187" s="79">
        <v>2020</v>
      </c>
      <c r="U187" s="79">
        <v>2022</v>
      </c>
    </row>
    <row r="188" spans="1:21" ht="15.75">
      <c r="A188" s="79">
        <f t="shared" si="25"/>
        <v>163</v>
      </c>
      <c r="B188" s="186" t="s">
        <v>205</v>
      </c>
      <c r="C188" s="81">
        <v>1982</v>
      </c>
      <c r="D188" s="79"/>
      <c r="E188" s="79"/>
      <c r="F188" s="110">
        <v>2695.8</v>
      </c>
      <c r="G188" s="110">
        <v>1966.8</v>
      </c>
      <c r="H188" s="1">
        <f t="shared" si="26"/>
        <v>1016324.71</v>
      </c>
      <c r="I188" s="1">
        <f>ROUND(947117.94*1.015,2)</f>
        <v>961324.71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55000</v>
      </c>
      <c r="P188" s="1">
        <v>0</v>
      </c>
      <c r="Q188" s="1">
        <v>1016324.71</v>
      </c>
      <c r="R188" s="1">
        <v>0</v>
      </c>
      <c r="S188" s="1"/>
      <c r="T188" s="79">
        <v>2020</v>
      </c>
      <c r="U188" s="79">
        <v>2021</v>
      </c>
    </row>
    <row r="189" spans="1:21" ht="15.75">
      <c r="A189" s="79">
        <f t="shared" si="25"/>
        <v>164</v>
      </c>
      <c r="B189" s="186" t="s">
        <v>206</v>
      </c>
      <c r="C189" s="81">
        <v>1981</v>
      </c>
      <c r="D189" s="79"/>
      <c r="E189" s="79"/>
      <c r="F189" s="110">
        <v>2753.1</v>
      </c>
      <c r="G189" s="110">
        <v>1952.8</v>
      </c>
      <c r="H189" s="1">
        <f>I189+J189+O189</f>
        <v>3871864.86</v>
      </c>
      <c r="I189" s="1">
        <f>ROUND(947117.94*1.015,2)</f>
        <v>961324.71</v>
      </c>
      <c r="J189" s="1">
        <v>2784151.65</v>
      </c>
      <c r="K189" s="1">
        <v>0</v>
      </c>
      <c r="L189" s="1">
        <v>0</v>
      </c>
      <c r="M189" s="1">
        <v>0</v>
      </c>
      <c r="N189" s="1">
        <v>0</v>
      </c>
      <c r="O189" s="1">
        <f>71388.5+55000</f>
        <v>126388.5</v>
      </c>
      <c r="P189" s="1">
        <v>0</v>
      </c>
      <c r="Q189" s="1">
        <v>1016324.71</v>
      </c>
      <c r="R189" s="1">
        <v>0</v>
      </c>
      <c r="S189" s="1">
        <f>J189+71388.5</f>
        <v>2855540.15</v>
      </c>
      <c r="T189" s="79">
        <v>2020</v>
      </c>
      <c r="U189" s="79">
        <v>2021</v>
      </c>
    </row>
    <row r="190" spans="1:21" ht="15.75">
      <c r="A190" s="79">
        <f t="shared" si="25"/>
        <v>165</v>
      </c>
      <c r="B190" s="186" t="s">
        <v>207</v>
      </c>
      <c r="C190" s="81">
        <v>1986</v>
      </c>
      <c r="D190" s="79"/>
      <c r="E190" s="79"/>
      <c r="F190" s="110">
        <v>7454.2</v>
      </c>
      <c r="G190" s="110">
        <v>5573.2</v>
      </c>
      <c r="H190" s="1">
        <f>Q190+S190</f>
        <v>1016324.71</v>
      </c>
      <c r="I190" s="1">
        <f>ROUND(947117.94*1.015,2)</f>
        <v>961324.71</v>
      </c>
      <c r="J190" s="1"/>
      <c r="K190" s="1">
        <v>0</v>
      </c>
      <c r="L190" s="1">
        <v>0</v>
      </c>
      <c r="M190" s="1">
        <v>0</v>
      </c>
      <c r="N190" s="1">
        <v>0</v>
      </c>
      <c r="O190" s="1">
        <v>55000</v>
      </c>
      <c r="P190" s="1">
        <v>0</v>
      </c>
      <c r="Q190" s="1">
        <v>1016324.71</v>
      </c>
      <c r="R190" s="1">
        <v>0</v>
      </c>
      <c r="S190" s="1">
        <v>0</v>
      </c>
      <c r="T190" s="79">
        <v>2020</v>
      </c>
      <c r="U190" s="79">
        <v>2021</v>
      </c>
    </row>
    <row r="191" spans="1:21" ht="15.75">
      <c r="A191" s="79">
        <f t="shared" si="25"/>
        <v>166</v>
      </c>
      <c r="B191" s="186" t="s">
        <v>208</v>
      </c>
      <c r="C191" s="81">
        <v>1978</v>
      </c>
      <c r="D191" s="79"/>
      <c r="E191" s="79"/>
      <c r="F191" s="110">
        <v>3904.3</v>
      </c>
      <c r="G191" s="110">
        <v>3904.3</v>
      </c>
      <c r="H191" s="1">
        <f>I191+J191+K191+L191+M191+N191+O191</f>
        <v>1016324.71</v>
      </c>
      <c r="I191" s="1">
        <f>ROUND(947117.94*1.015,2)</f>
        <v>961324.71</v>
      </c>
      <c r="J191" s="1"/>
      <c r="K191" s="1">
        <v>0</v>
      </c>
      <c r="L191" s="1">
        <v>0</v>
      </c>
      <c r="M191" s="1">
        <v>0</v>
      </c>
      <c r="N191" s="1">
        <v>0</v>
      </c>
      <c r="O191" s="1">
        <v>55000</v>
      </c>
      <c r="P191" s="1">
        <v>0</v>
      </c>
      <c r="Q191" s="1">
        <v>1016324.71</v>
      </c>
      <c r="R191" s="1">
        <v>0</v>
      </c>
      <c r="S191" s="1">
        <v>0</v>
      </c>
      <c r="T191" s="79">
        <v>2020</v>
      </c>
      <c r="U191" s="79">
        <v>2021</v>
      </c>
    </row>
    <row r="192" spans="1:21" ht="15.75">
      <c r="A192" s="79">
        <f t="shared" si="25"/>
        <v>167</v>
      </c>
      <c r="B192" s="186" t="s">
        <v>209</v>
      </c>
      <c r="C192" s="81">
        <v>1981</v>
      </c>
      <c r="D192" s="79"/>
      <c r="E192" s="79"/>
      <c r="F192" s="110">
        <v>4729.5</v>
      </c>
      <c r="G192" s="110">
        <v>4469.2</v>
      </c>
      <c r="H192" s="1">
        <f t="shared" si="26"/>
        <v>2811185</v>
      </c>
      <c r="I192" s="1">
        <v>2811185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f>ROUND((L192+N192)*2%,2)</f>
        <v>0</v>
      </c>
      <c r="P192" s="1">
        <v>0</v>
      </c>
      <c r="Q192" s="1">
        <v>0</v>
      </c>
      <c r="R192" s="1">
        <v>0</v>
      </c>
      <c r="S192" s="1">
        <f t="shared" si="31"/>
        <v>2811185</v>
      </c>
      <c r="T192" s="79">
        <v>2020</v>
      </c>
      <c r="U192" s="79">
        <v>2022</v>
      </c>
    </row>
    <row r="193" spans="1:21" ht="15.75">
      <c r="A193" s="79">
        <f t="shared" si="25"/>
        <v>168</v>
      </c>
      <c r="B193" s="186" t="s">
        <v>210</v>
      </c>
      <c r="C193" s="81">
        <v>1982</v>
      </c>
      <c r="D193" s="79"/>
      <c r="E193" s="79"/>
      <c r="F193" s="110">
        <v>3240.3</v>
      </c>
      <c r="G193" s="110">
        <v>3090</v>
      </c>
      <c r="H193" s="1">
        <f t="shared" si="26"/>
        <v>1016324.71</v>
      </c>
      <c r="I193" s="1">
        <f>ROUND(947117.94*1.015,2)</f>
        <v>961324.71</v>
      </c>
      <c r="J193" s="1"/>
      <c r="K193" s="1">
        <v>0</v>
      </c>
      <c r="L193" s="1">
        <v>0</v>
      </c>
      <c r="M193" s="1">
        <v>0</v>
      </c>
      <c r="N193" s="1">
        <v>0</v>
      </c>
      <c r="O193" s="1">
        <v>55000</v>
      </c>
      <c r="P193" s="1">
        <v>0</v>
      </c>
      <c r="Q193" s="1">
        <v>1016324.71</v>
      </c>
      <c r="R193" s="1">
        <v>0</v>
      </c>
      <c r="S193" s="1">
        <v>0</v>
      </c>
      <c r="T193" s="79">
        <v>2020</v>
      </c>
      <c r="U193" s="79">
        <v>2021</v>
      </c>
    </row>
    <row r="194" spans="1:21" ht="15.75">
      <c r="A194" s="79">
        <f t="shared" si="25"/>
        <v>169</v>
      </c>
      <c r="B194" s="186" t="s">
        <v>211</v>
      </c>
      <c r="C194" s="81" t="s">
        <v>212</v>
      </c>
      <c r="D194" s="79"/>
      <c r="E194" s="79"/>
      <c r="F194" s="109">
        <v>2967.8</v>
      </c>
      <c r="G194" s="109">
        <v>2705.2</v>
      </c>
      <c r="H194" s="1">
        <f t="shared" si="26"/>
        <v>1016324.71</v>
      </c>
      <c r="I194" s="1">
        <f>ROUND(947117.94*1.015,2)</f>
        <v>961324.71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55000</v>
      </c>
      <c r="P194" s="1">
        <v>0</v>
      </c>
      <c r="Q194" s="1">
        <v>0</v>
      </c>
      <c r="R194" s="1">
        <v>0</v>
      </c>
      <c r="S194" s="1">
        <f t="shared" si="31"/>
        <v>1016324.71</v>
      </c>
      <c r="T194" s="79">
        <v>2020</v>
      </c>
      <c r="U194" s="79">
        <v>2022</v>
      </c>
    </row>
    <row r="195" spans="1:21" ht="15.75">
      <c r="A195" s="79">
        <f t="shared" si="25"/>
        <v>170</v>
      </c>
      <c r="B195" s="186" t="s">
        <v>213</v>
      </c>
      <c r="C195" s="81">
        <v>1958</v>
      </c>
      <c r="D195" s="79"/>
      <c r="E195" s="79"/>
      <c r="F195" s="110">
        <v>13455.6</v>
      </c>
      <c r="G195" s="110">
        <v>9132.4</v>
      </c>
      <c r="H195" s="1">
        <f t="shared" si="26"/>
        <v>18226809.960000001</v>
      </c>
      <c r="I195" s="1">
        <v>0</v>
      </c>
      <c r="J195" s="1">
        <f>3037801.66*6-O195</f>
        <v>17771139.719999999</v>
      </c>
      <c r="K195" s="1">
        <v>0</v>
      </c>
      <c r="L195" s="1">
        <v>0</v>
      </c>
      <c r="M195" s="1">
        <v>0</v>
      </c>
      <c r="N195" s="1">
        <v>0</v>
      </c>
      <c r="O195" s="1">
        <f>75945.04*6</f>
        <v>455670.24</v>
      </c>
      <c r="P195" s="1">
        <v>0</v>
      </c>
      <c r="Q195" s="1">
        <v>0</v>
      </c>
      <c r="R195" s="1">
        <v>0</v>
      </c>
      <c r="S195" s="1">
        <f t="shared" si="31"/>
        <v>18226809.960000001</v>
      </c>
      <c r="T195" s="79">
        <v>2020</v>
      </c>
      <c r="U195" s="79">
        <v>2022</v>
      </c>
    </row>
    <row r="196" spans="1:21" ht="15.75">
      <c r="A196" s="79">
        <f t="shared" si="25"/>
        <v>171</v>
      </c>
      <c r="B196" s="186" t="s">
        <v>214</v>
      </c>
      <c r="C196" s="81">
        <v>1953</v>
      </c>
      <c r="D196" s="79"/>
      <c r="E196" s="79"/>
      <c r="F196" s="110">
        <v>1614.9</v>
      </c>
      <c r="G196" s="110">
        <v>1235.5999999999999</v>
      </c>
      <c r="H196" s="1">
        <f t="shared" si="26"/>
        <v>5213178.95</v>
      </c>
      <c r="I196" s="1">
        <v>0</v>
      </c>
      <c r="J196" s="1">
        <v>0</v>
      </c>
      <c r="K196" s="1">
        <f>ROUND(4075.29*G196*1.015,2)</f>
        <v>5110959.75</v>
      </c>
      <c r="L196" s="1">
        <v>0</v>
      </c>
      <c r="M196" s="1">
        <v>0</v>
      </c>
      <c r="N196" s="1">
        <v>0</v>
      </c>
      <c r="O196" s="1">
        <f>ROUND(K196*2%,2)</f>
        <v>102219.2</v>
      </c>
      <c r="P196" s="1">
        <v>0</v>
      </c>
      <c r="Q196" s="1">
        <v>0</v>
      </c>
      <c r="R196" s="1">
        <v>0</v>
      </c>
      <c r="S196" s="1">
        <f t="shared" si="31"/>
        <v>5213178.95</v>
      </c>
      <c r="T196" s="79">
        <v>2020</v>
      </c>
      <c r="U196" s="79">
        <v>2022</v>
      </c>
    </row>
    <row r="197" spans="1:21" ht="15.75">
      <c r="A197" s="79">
        <f t="shared" si="25"/>
        <v>172</v>
      </c>
      <c r="B197" s="186" t="s">
        <v>215</v>
      </c>
      <c r="C197" s="105">
        <v>1941</v>
      </c>
      <c r="D197" s="79"/>
      <c r="E197" s="79"/>
      <c r="F197" s="12">
        <v>3299.3</v>
      </c>
      <c r="G197" s="12">
        <v>1902.2</v>
      </c>
      <c r="H197" s="1">
        <f t="shared" si="26"/>
        <v>8520677.6099999994</v>
      </c>
      <c r="I197" s="1">
        <v>0</v>
      </c>
      <c r="J197" s="1">
        <v>0</v>
      </c>
      <c r="K197" s="1">
        <f>ROUND(4075.29*G197*1.015,2)</f>
        <v>7868296.8899999997</v>
      </c>
      <c r="L197" s="1">
        <v>0</v>
      </c>
      <c r="M197" s="1">
        <v>0</v>
      </c>
      <c r="N197" s="1">
        <f>497460*1.015</f>
        <v>504921.9</v>
      </c>
      <c r="O197" s="1">
        <f>ROUND(K197*1.3%,2)+45170.96</f>
        <v>147458.82</v>
      </c>
      <c r="P197" s="1">
        <v>0</v>
      </c>
      <c r="Q197" s="1">
        <f>I197*99%</f>
        <v>0</v>
      </c>
      <c r="R197" s="1">
        <v>0</v>
      </c>
      <c r="S197" s="1">
        <f t="shared" si="31"/>
        <v>8520677.6099999994</v>
      </c>
      <c r="T197" s="79">
        <v>2020</v>
      </c>
      <c r="U197" s="79">
        <v>2022</v>
      </c>
    </row>
    <row r="198" spans="1:21" ht="15.75">
      <c r="A198" s="79">
        <f>A197+1</f>
        <v>173</v>
      </c>
      <c r="B198" s="186" t="s">
        <v>217</v>
      </c>
      <c r="C198" s="81">
        <v>1953</v>
      </c>
      <c r="D198" s="79"/>
      <c r="E198" s="79"/>
      <c r="F198" s="110">
        <v>2505.8000000000002</v>
      </c>
      <c r="G198" s="110">
        <v>1405.4</v>
      </c>
      <c r="H198" s="1">
        <f t="shared" si="26"/>
        <v>5929590.2300000004</v>
      </c>
      <c r="I198" s="1">
        <v>0</v>
      </c>
      <c r="J198" s="1">
        <v>0</v>
      </c>
      <c r="K198" s="1">
        <f>ROUND(4075.29*G198*1.015,2)</f>
        <v>5813323.75</v>
      </c>
      <c r="L198" s="1">
        <v>0</v>
      </c>
      <c r="M198" s="1">
        <v>0</v>
      </c>
      <c r="N198" s="1">
        <v>0</v>
      </c>
      <c r="O198" s="1">
        <f>ROUND(K198*2%,2)</f>
        <v>116266.48</v>
      </c>
      <c r="P198" s="1">
        <v>0</v>
      </c>
      <c r="Q198" s="1">
        <v>0</v>
      </c>
      <c r="R198" s="1">
        <v>0</v>
      </c>
      <c r="S198" s="1">
        <f t="shared" si="31"/>
        <v>5929590.2300000004</v>
      </c>
      <c r="T198" s="79">
        <v>2020</v>
      </c>
      <c r="U198" s="79">
        <v>2022</v>
      </c>
    </row>
    <row r="199" spans="1:21" ht="15.75">
      <c r="A199" s="79">
        <f t="shared" ref="A199:A217" si="32">A198+1</f>
        <v>174</v>
      </c>
      <c r="B199" s="186" t="s">
        <v>218</v>
      </c>
      <c r="C199" s="81">
        <v>1960</v>
      </c>
      <c r="D199" s="79"/>
      <c r="E199" s="79"/>
      <c r="F199" s="109">
        <f>966.1+150</f>
        <v>1116.0999999999999</v>
      </c>
      <c r="G199" s="109">
        <v>966.1</v>
      </c>
      <c r="H199" s="1">
        <f t="shared" si="26"/>
        <v>3803009.02</v>
      </c>
      <c r="I199" s="1">
        <v>0</v>
      </c>
      <c r="J199" s="1">
        <v>0</v>
      </c>
      <c r="K199" s="1">
        <f>ROUND(3828.51*G199*1.015,2)</f>
        <v>3754204.36</v>
      </c>
      <c r="L199" s="1">
        <v>0</v>
      </c>
      <c r="M199" s="1">
        <v>0</v>
      </c>
      <c r="N199" s="1">
        <v>0</v>
      </c>
      <c r="O199" s="1">
        <f>ROUND(K199*1.3%,2)</f>
        <v>48804.66</v>
      </c>
      <c r="P199" s="1">
        <v>0</v>
      </c>
      <c r="Q199" s="1">
        <v>0</v>
      </c>
      <c r="R199" s="1">
        <v>0</v>
      </c>
      <c r="S199" s="1">
        <f t="shared" si="31"/>
        <v>3803009.02</v>
      </c>
      <c r="T199" s="79">
        <v>2020</v>
      </c>
      <c r="U199" s="79">
        <v>2022</v>
      </c>
    </row>
    <row r="200" spans="1:21" ht="15.75">
      <c r="A200" s="79">
        <f t="shared" si="32"/>
        <v>175</v>
      </c>
      <c r="B200" s="186" t="s">
        <v>219</v>
      </c>
      <c r="C200" s="81" t="s">
        <v>220</v>
      </c>
      <c r="D200" s="79"/>
      <c r="E200" s="79"/>
      <c r="F200" s="109">
        <v>1914.5</v>
      </c>
      <c r="G200" s="109">
        <v>1905.9</v>
      </c>
      <c r="H200" s="1">
        <f t="shared" si="26"/>
        <v>7986088.46</v>
      </c>
      <c r="I200" s="1">
        <v>0</v>
      </c>
      <c r="J200" s="1">
        <v>0</v>
      </c>
      <c r="K200" s="1">
        <v>7883601.6399999997</v>
      </c>
      <c r="L200" s="1">
        <v>0</v>
      </c>
      <c r="M200" s="1">
        <v>0</v>
      </c>
      <c r="N200" s="1">
        <v>0</v>
      </c>
      <c r="O200" s="1">
        <f>ROUND(K200*1.3%,2)</f>
        <v>102486.82</v>
      </c>
      <c r="P200" s="1">
        <v>0</v>
      </c>
      <c r="Q200" s="1">
        <v>0</v>
      </c>
      <c r="R200" s="1">
        <v>0</v>
      </c>
      <c r="S200" s="1">
        <f t="shared" si="31"/>
        <v>7986088.46</v>
      </c>
      <c r="T200" s="79">
        <v>2020</v>
      </c>
      <c r="U200" s="79">
        <v>2022</v>
      </c>
    </row>
    <row r="201" spans="1:21" ht="15.75">
      <c r="A201" s="79">
        <f t="shared" si="32"/>
        <v>176</v>
      </c>
      <c r="B201" s="186" t="s">
        <v>221</v>
      </c>
      <c r="C201" s="81">
        <v>1965</v>
      </c>
      <c r="D201" s="79"/>
      <c r="E201" s="79"/>
      <c r="F201" s="110">
        <v>3274.1</v>
      </c>
      <c r="G201" s="110">
        <v>3080.4</v>
      </c>
      <c r="H201" s="1">
        <f t="shared" si="26"/>
        <v>9314282</v>
      </c>
      <c r="I201" s="1">
        <v>0</v>
      </c>
      <c r="J201" s="1">
        <v>0</v>
      </c>
      <c r="K201" s="1">
        <v>4706323</v>
      </c>
      <c r="L201" s="1">
        <v>0</v>
      </c>
      <c r="M201" s="1">
        <v>4607959</v>
      </c>
      <c r="N201" s="1">
        <v>0</v>
      </c>
      <c r="O201" s="1">
        <v>0</v>
      </c>
      <c r="P201" s="1">
        <v>0</v>
      </c>
      <c r="Q201" s="1">
        <f>H201</f>
        <v>9314282</v>
      </c>
      <c r="R201" s="1">
        <v>0</v>
      </c>
      <c r="S201" s="1">
        <v>0</v>
      </c>
      <c r="T201" s="79">
        <v>2020</v>
      </c>
      <c r="U201" s="79">
        <v>2022</v>
      </c>
    </row>
    <row r="202" spans="1:21" ht="15.75">
      <c r="A202" s="79">
        <f t="shared" si="32"/>
        <v>177</v>
      </c>
      <c r="B202" s="186" t="s">
        <v>222</v>
      </c>
      <c r="C202" s="81">
        <v>1965</v>
      </c>
      <c r="D202" s="79"/>
      <c r="E202" s="79"/>
      <c r="F202" s="110">
        <v>3350.4</v>
      </c>
      <c r="G202" s="110">
        <v>3169.7</v>
      </c>
      <c r="H202" s="1">
        <f t="shared" si="26"/>
        <v>9164749</v>
      </c>
      <c r="I202" s="1">
        <v>0</v>
      </c>
      <c r="J202" s="1">
        <v>0</v>
      </c>
      <c r="K202" s="1">
        <v>4618207</v>
      </c>
      <c r="L202" s="1">
        <v>0</v>
      </c>
      <c r="M202" s="1">
        <v>4546542</v>
      </c>
      <c r="N202" s="1">
        <v>0</v>
      </c>
      <c r="O202" s="1">
        <v>0</v>
      </c>
      <c r="P202" s="1">
        <v>0</v>
      </c>
      <c r="Q202" s="1">
        <f t="shared" ref="Q202:Q217" si="33">H202</f>
        <v>9164749</v>
      </c>
      <c r="R202" s="1">
        <v>0</v>
      </c>
      <c r="S202" s="1">
        <f>I202*1%</f>
        <v>0</v>
      </c>
      <c r="T202" s="79">
        <v>2020</v>
      </c>
      <c r="U202" s="79">
        <v>2022</v>
      </c>
    </row>
    <row r="203" spans="1:21" ht="15.75">
      <c r="A203" s="79">
        <f t="shared" si="32"/>
        <v>178</v>
      </c>
      <c r="B203" s="186" t="s">
        <v>223</v>
      </c>
      <c r="C203" s="81">
        <v>1935</v>
      </c>
      <c r="D203" s="79"/>
      <c r="E203" s="79"/>
      <c r="F203" s="110">
        <v>2068.4</v>
      </c>
      <c r="G203" s="110">
        <v>1925.7</v>
      </c>
      <c r="H203" s="1">
        <f>I203+J203+K203+L203+M203+N203+O203</f>
        <v>3997297</v>
      </c>
      <c r="I203" s="1">
        <v>0</v>
      </c>
      <c r="J203" s="1">
        <v>0</v>
      </c>
      <c r="K203" s="1">
        <v>0</v>
      </c>
      <c r="L203" s="1">
        <v>0</v>
      </c>
      <c r="M203" s="1">
        <v>3997297</v>
      </c>
      <c r="N203" s="1">
        <v>0</v>
      </c>
      <c r="O203" s="1"/>
      <c r="P203" s="1">
        <v>0</v>
      </c>
      <c r="Q203" s="1">
        <f t="shared" si="33"/>
        <v>3997297</v>
      </c>
      <c r="R203" s="1">
        <v>0</v>
      </c>
      <c r="S203" s="1">
        <v>0</v>
      </c>
      <c r="T203" s="79">
        <v>2020</v>
      </c>
      <c r="U203" s="79">
        <v>2022</v>
      </c>
    </row>
    <row r="204" spans="1:21" ht="15.75">
      <c r="A204" s="79">
        <f t="shared" si="32"/>
        <v>179</v>
      </c>
      <c r="B204" s="186" t="s">
        <v>224</v>
      </c>
      <c r="C204" s="81">
        <v>1962</v>
      </c>
      <c r="D204" s="79"/>
      <c r="E204" s="79"/>
      <c r="F204" s="110">
        <v>1776.8</v>
      </c>
      <c r="G204" s="110">
        <v>1642.8</v>
      </c>
      <c r="H204" s="1">
        <f t="shared" si="26"/>
        <v>6442935</v>
      </c>
      <c r="I204" s="1">
        <v>0</v>
      </c>
      <c r="J204" s="1">
        <v>0</v>
      </c>
      <c r="K204" s="1">
        <v>3386798</v>
      </c>
      <c r="L204" s="1">
        <v>0</v>
      </c>
      <c r="M204" s="1">
        <v>3056137</v>
      </c>
      <c r="N204" s="1">
        <v>0</v>
      </c>
      <c r="O204" s="1">
        <v>0</v>
      </c>
      <c r="P204" s="1">
        <v>0</v>
      </c>
      <c r="Q204" s="1">
        <f t="shared" si="33"/>
        <v>6442935</v>
      </c>
      <c r="R204" s="1">
        <v>0</v>
      </c>
      <c r="S204" s="1">
        <v>0</v>
      </c>
      <c r="T204" s="79">
        <v>2020</v>
      </c>
      <c r="U204" s="79">
        <v>2022</v>
      </c>
    </row>
    <row r="205" spans="1:21" ht="47.25">
      <c r="A205" s="79">
        <f t="shared" si="32"/>
        <v>180</v>
      </c>
      <c r="B205" s="186" t="s">
        <v>225</v>
      </c>
      <c r="C205" s="81">
        <v>1961</v>
      </c>
      <c r="D205" s="79"/>
      <c r="E205" s="79" t="s">
        <v>1067</v>
      </c>
      <c r="F205" s="110">
        <v>8701</v>
      </c>
      <c r="G205" s="110">
        <v>7971.7</v>
      </c>
      <c r="H205" s="1">
        <f t="shared" si="26"/>
        <v>12884722</v>
      </c>
      <c r="I205" s="1">
        <v>0</v>
      </c>
      <c r="J205" s="1">
        <v>0</v>
      </c>
      <c r="K205" s="1">
        <v>0</v>
      </c>
      <c r="L205" s="1">
        <v>0</v>
      </c>
      <c r="M205" s="1">
        <v>12884722</v>
      </c>
      <c r="N205" s="1">
        <v>0</v>
      </c>
      <c r="O205" s="1">
        <v>0</v>
      </c>
      <c r="P205" s="1">
        <v>0</v>
      </c>
      <c r="Q205" s="1">
        <f t="shared" si="33"/>
        <v>12884722</v>
      </c>
      <c r="R205" s="1">
        <v>0</v>
      </c>
      <c r="S205" s="1">
        <v>0</v>
      </c>
      <c r="T205" s="79">
        <v>2020</v>
      </c>
      <c r="U205" s="79">
        <v>2022</v>
      </c>
    </row>
    <row r="206" spans="1:21" ht="15.75">
      <c r="A206" s="79">
        <f t="shared" si="32"/>
        <v>181</v>
      </c>
      <c r="B206" s="186" t="s">
        <v>226</v>
      </c>
      <c r="C206" s="81">
        <v>1959</v>
      </c>
      <c r="D206" s="79"/>
      <c r="E206" s="79"/>
      <c r="F206" s="110">
        <v>6587.7</v>
      </c>
      <c r="G206" s="110">
        <v>6026.7</v>
      </c>
      <c r="H206" s="1">
        <f t="shared" si="26"/>
        <v>10961082</v>
      </c>
      <c r="I206" s="1">
        <v>0</v>
      </c>
      <c r="J206" s="1">
        <v>0</v>
      </c>
      <c r="K206" s="1">
        <v>0</v>
      </c>
      <c r="L206" s="1">
        <v>0</v>
      </c>
      <c r="M206" s="1">
        <v>10961082</v>
      </c>
      <c r="N206" s="1">
        <v>0</v>
      </c>
      <c r="O206" s="1">
        <v>0</v>
      </c>
      <c r="P206" s="1">
        <v>0</v>
      </c>
      <c r="Q206" s="1">
        <f t="shared" si="33"/>
        <v>10961082</v>
      </c>
      <c r="R206" s="1">
        <v>0</v>
      </c>
      <c r="S206" s="1">
        <v>0</v>
      </c>
      <c r="T206" s="79">
        <v>2020</v>
      </c>
      <c r="U206" s="79">
        <v>2022</v>
      </c>
    </row>
    <row r="207" spans="1:21" ht="15.75">
      <c r="A207" s="79">
        <f t="shared" si="32"/>
        <v>182</v>
      </c>
      <c r="B207" s="186" t="s">
        <v>227</v>
      </c>
      <c r="C207" s="81">
        <v>1938</v>
      </c>
      <c r="D207" s="79"/>
      <c r="E207" s="79"/>
      <c r="F207" s="110">
        <v>2507.5</v>
      </c>
      <c r="G207" s="110">
        <v>2225.8000000000002</v>
      </c>
      <c r="H207" s="1">
        <f t="shared" si="26"/>
        <v>15674147</v>
      </c>
      <c r="I207" s="1">
        <v>0</v>
      </c>
      <c r="J207" s="1">
        <v>0</v>
      </c>
      <c r="K207" s="1">
        <v>7737130</v>
      </c>
      <c r="L207" s="1">
        <v>0</v>
      </c>
      <c r="M207" s="1">
        <v>7937017</v>
      </c>
      <c r="N207" s="1">
        <v>0</v>
      </c>
      <c r="O207" s="1">
        <v>0</v>
      </c>
      <c r="P207" s="1">
        <v>0</v>
      </c>
      <c r="Q207" s="1">
        <f t="shared" si="33"/>
        <v>15674147</v>
      </c>
      <c r="R207" s="1">
        <v>0</v>
      </c>
      <c r="S207" s="1">
        <v>0</v>
      </c>
      <c r="T207" s="79">
        <v>2020</v>
      </c>
      <c r="U207" s="79">
        <v>2022</v>
      </c>
    </row>
    <row r="208" spans="1:21" ht="15.75">
      <c r="A208" s="79">
        <f t="shared" si="32"/>
        <v>183</v>
      </c>
      <c r="B208" s="186" t="s">
        <v>228</v>
      </c>
      <c r="C208" s="81">
        <v>1955</v>
      </c>
      <c r="D208" s="79"/>
      <c r="E208" s="79"/>
      <c r="F208" s="110">
        <v>4428.5</v>
      </c>
      <c r="G208" s="110">
        <v>3955.5</v>
      </c>
      <c r="H208" s="1">
        <f t="shared" si="26"/>
        <v>19737930.699999999</v>
      </c>
      <c r="I208" s="1">
        <v>0</v>
      </c>
      <c r="J208" s="1">
        <v>0</v>
      </c>
      <c r="K208" s="1">
        <v>12528922.25</v>
      </c>
      <c r="L208" s="1">
        <v>0</v>
      </c>
      <c r="M208" s="1">
        <v>7209008.4500000002</v>
      </c>
      <c r="N208" s="1">
        <v>0</v>
      </c>
      <c r="O208" s="1">
        <v>0</v>
      </c>
      <c r="P208" s="1">
        <v>0</v>
      </c>
      <c r="Q208" s="1">
        <f t="shared" si="33"/>
        <v>19737930.699999999</v>
      </c>
      <c r="R208" s="1">
        <v>0</v>
      </c>
      <c r="S208" s="1">
        <v>0</v>
      </c>
      <c r="T208" s="79">
        <v>2020</v>
      </c>
      <c r="U208" s="79">
        <v>2022</v>
      </c>
    </row>
    <row r="209" spans="1:21" ht="15.75">
      <c r="A209" s="79">
        <f t="shared" si="32"/>
        <v>184</v>
      </c>
      <c r="B209" s="186" t="s">
        <v>229</v>
      </c>
      <c r="C209" s="81">
        <v>1934</v>
      </c>
      <c r="D209" s="79" t="s">
        <v>230</v>
      </c>
      <c r="E209" s="79"/>
      <c r="F209" s="110">
        <v>4540</v>
      </c>
      <c r="G209" s="110">
        <v>4140.2</v>
      </c>
      <c r="H209" s="1">
        <f t="shared" si="26"/>
        <v>1016324.71</v>
      </c>
      <c r="I209" s="1">
        <f>ROUND(947117.94*1.015,2)</f>
        <v>961324.71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55000</v>
      </c>
      <c r="P209" s="1">
        <v>0</v>
      </c>
      <c r="Q209" s="1">
        <f>O209+I209</f>
        <v>1016324.71</v>
      </c>
      <c r="R209" s="1">
        <v>0</v>
      </c>
      <c r="S209" s="1">
        <v>0</v>
      </c>
      <c r="T209" s="79">
        <v>2020</v>
      </c>
      <c r="U209" s="79">
        <v>2022</v>
      </c>
    </row>
    <row r="210" spans="1:21" ht="15.75">
      <c r="A210" s="79">
        <f t="shared" si="32"/>
        <v>185</v>
      </c>
      <c r="B210" s="186" t="s">
        <v>231</v>
      </c>
      <c r="C210" s="81">
        <v>1952</v>
      </c>
      <c r="D210" s="79"/>
      <c r="E210" s="79"/>
      <c r="F210" s="110">
        <v>3892.8</v>
      </c>
      <c r="G210" s="110">
        <v>3493.1</v>
      </c>
      <c r="H210" s="1">
        <f t="shared" si="26"/>
        <v>8776064</v>
      </c>
      <c r="I210" s="1">
        <v>0</v>
      </c>
      <c r="J210" s="1">
        <v>0</v>
      </c>
      <c r="K210" s="1">
        <v>0</v>
      </c>
      <c r="L210" s="1">
        <v>0</v>
      </c>
      <c r="M210" s="1">
        <v>8776064</v>
      </c>
      <c r="N210" s="1">
        <v>0</v>
      </c>
      <c r="O210" s="1">
        <v>0</v>
      </c>
      <c r="P210" s="1">
        <v>0</v>
      </c>
      <c r="Q210" s="1">
        <f t="shared" si="33"/>
        <v>8776064</v>
      </c>
      <c r="R210" s="1">
        <v>0</v>
      </c>
      <c r="S210" s="1">
        <v>0</v>
      </c>
      <c r="T210" s="79">
        <v>2020</v>
      </c>
      <c r="U210" s="79">
        <v>2022</v>
      </c>
    </row>
    <row r="211" spans="1:21" ht="15.75">
      <c r="A211" s="79">
        <f t="shared" si="32"/>
        <v>186</v>
      </c>
      <c r="B211" s="186" t="s">
        <v>232</v>
      </c>
      <c r="C211" s="81">
        <v>1958</v>
      </c>
      <c r="D211" s="79"/>
      <c r="E211" s="79"/>
      <c r="F211" s="110">
        <v>5641.8</v>
      </c>
      <c r="G211" s="110">
        <v>5135.7</v>
      </c>
      <c r="H211" s="1">
        <f t="shared" si="26"/>
        <v>25756464.879999999</v>
      </c>
      <c r="I211" s="1">
        <v>0</v>
      </c>
      <c r="J211" s="1">
        <v>0</v>
      </c>
      <c r="K211" s="1">
        <v>15524712.5</v>
      </c>
      <c r="L211" s="1">
        <v>0</v>
      </c>
      <c r="M211" s="1">
        <v>10231752.380000001</v>
      </c>
      <c r="N211" s="1">
        <v>0</v>
      </c>
      <c r="O211" s="1">
        <v>0</v>
      </c>
      <c r="P211" s="1">
        <v>0</v>
      </c>
      <c r="Q211" s="1">
        <f t="shared" si="33"/>
        <v>25756464.879999999</v>
      </c>
      <c r="R211" s="1">
        <v>0</v>
      </c>
      <c r="S211" s="1">
        <v>0</v>
      </c>
      <c r="T211" s="79">
        <v>2020</v>
      </c>
      <c r="U211" s="79">
        <v>2022</v>
      </c>
    </row>
    <row r="212" spans="1:21" ht="15.75">
      <c r="A212" s="79">
        <f t="shared" si="32"/>
        <v>187</v>
      </c>
      <c r="B212" s="186" t="s">
        <v>233</v>
      </c>
      <c r="C212" s="81">
        <v>1958</v>
      </c>
      <c r="D212" s="79"/>
      <c r="E212" s="79"/>
      <c r="F212" s="110">
        <v>5662.6</v>
      </c>
      <c r="G212" s="110">
        <v>5155.3</v>
      </c>
      <c r="H212" s="1">
        <f t="shared" si="26"/>
        <v>10873158</v>
      </c>
      <c r="I212" s="1">
        <v>0</v>
      </c>
      <c r="J212" s="1">
        <v>0</v>
      </c>
      <c r="K212" s="1">
        <v>0</v>
      </c>
      <c r="L212" s="1">
        <v>0</v>
      </c>
      <c r="M212" s="1">
        <v>10873158</v>
      </c>
      <c r="N212" s="1">
        <v>0</v>
      </c>
      <c r="O212" s="1">
        <v>0</v>
      </c>
      <c r="P212" s="1">
        <v>0</v>
      </c>
      <c r="Q212" s="1">
        <f t="shared" si="33"/>
        <v>10873158</v>
      </c>
      <c r="R212" s="1">
        <v>0</v>
      </c>
      <c r="S212" s="1">
        <v>0</v>
      </c>
      <c r="T212" s="79">
        <v>2020</v>
      </c>
      <c r="U212" s="79">
        <v>2022</v>
      </c>
    </row>
    <row r="213" spans="1:21" ht="15.75">
      <c r="A213" s="79">
        <f t="shared" si="32"/>
        <v>188</v>
      </c>
      <c r="B213" s="186" t="s">
        <v>234</v>
      </c>
      <c r="C213" s="81">
        <v>1961</v>
      </c>
      <c r="D213" s="79"/>
      <c r="E213" s="79"/>
      <c r="F213" s="110">
        <v>6573.3</v>
      </c>
      <c r="G213" s="110">
        <v>6041.6</v>
      </c>
      <c r="H213" s="1">
        <f t="shared" si="26"/>
        <v>27049116.649999999</v>
      </c>
      <c r="I213" s="1">
        <v>0</v>
      </c>
      <c r="J213" s="1">
        <v>0</v>
      </c>
      <c r="K213" s="1">
        <v>17450583</v>
      </c>
      <c r="L213" s="1">
        <v>0</v>
      </c>
      <c r="M213" s="1">
        <v>9598533.6500000004</v>
      </c>
      <c r="N213" s="1">
        <v>0</v>
      </c>
      <c r="O213" s="1">
        <v>0</v>
      </c>
      <c r="P213" s="1">
        <v>0</v>
      </c>
      <c r="Q213" s="1">
        <f t="shared" si="33"/>
        <v>27049116.649999999</v>
      </c>
      <c r="R213" s="1">
        <v>0</v>
      </c>
      <c r="S213" s="1">
        <v>0</v>
      </c>
      <c r="T213" s="79">
        <v>2020</v>
      </c>
      <c r="U213" s="79">
        <v>2022</v>
      </c>
    </row>
    <row r="214" spans="1:21" ht="15.75">
      <c r="A214" s="79">
        <f t="shared" si="32"/>
        <v>189</v>
      </c>
      <c r="B214" s="186" t="s">
        <v>235</v>
      </c>
      <c r="C214" s="81">
        <v>1958</v>
      </c>
      <c r="D214" s="79"/>
      <c r="E214" s="79"/>
      <c r="F214" s="110">
        <v>3668.8</v>
      </c>
      <c r="G214" s="110">
        <v>3385.4</v>
      </c>
      <c r="H214" s="1">
        <f t="shared" si="26"/>
        <v>15721228.199999999</v>
      </c>
      <c r="I214" s="1">
        <v>0</v>
      </c>
      <c r="J214" s="1">
        <v>0</v>
      </c>
      <c r="K214" s="1">
        <v>9394550</v>
      </c>
      <c r="L214" s="1">
        <v>0</v>
      </c>
      <c r="M214" s="1">
        <v>6326678.2000000002</v>
      </c>
      <c r="N214" s="1">
        <v>0</v>
      </c>
      <c r="O214" s="1">
        <v>0</v>
      </c>
      <c r="P214" s="1">
        <v>0</v>
      </c>
      <c r="Q214" s="1">
        <f t="shared" si="33"/>
        <v>15721228.199999999</v>
      </c>
      <c r="R214" s="1"/>
      <c r="S214" s="1">
        <v>0</v>
      </c>
      <c r="T214" s="79">
        <v>2020</v>
      </c>
      <c r="U214" s="79">
        <v>2022</v>
      </c>
    </row>
    <row r="215" spans="1:21" ht="15.75">
      <c r="A215" s="79">
        <f t="shared" si="32"/>
        <v>190</v>
      </c>
      <c r="B215" s="186" t="s">
        <v>236</v>
      </c>
      <c r="C215" s="81">
        <v>1960</v>
      </c>
      <c r="D215" s="79"/>
      <c r="E215" s="79"/>
      <c r="F215" s="110">
        <v>3263.8</v>
      </c>
      <c r="G215" s="110">
        <v>3061</v>
      </c>
      <c r="H215" s="1">
        <f>I215+J215+K215+L215+M215+N215+O215</f>
        <v>1016324.71</v>
      </c>
      <c r="I215" s="1">
        <f>ROUND(947117.94*1.015,2)</f>
        <v>961324.71</v>
      </c>
      <c r="J215" s="1">
        <v>0</v>
      </c>
      <c r="K215" s="1"/>
      <c r="L215" s="1">
        <v>0</v>
      </c>
      <c r="M215" s="1">
        <v>0</v>
      </c>
      <c r="N215" s="1">
        <v>0</v>
      </c>
      <c r="O215" s="1">
        <v>55000</v>
      </c>
      <c r="P215" s="1"/>
      <c r="Q215" s="1">
        <v>1016324.71</v>
      </c>
      <c r="R215" s="1"/>
      <c r="S215" s="1">
        <v>0</v>
      </c>
      <c r="T215" s="79">
        <v>2020</v>
      </c>
      <c r="U215" s="79">
        <v>2021</v>
      </c>
    </row>
    <row r="216" spans="1:21" ht="15.75">
      <c r="A216" s="79">
        <f t="shared" si="32"/>
        <v>191</v>
      </c>
      <c r="B216" s="186" t="s">
        <v>237</v>
      </c>
      <c r="C216" s="81">
        <v>1963</v>
      </c>
      <c r="D216" s="79"/>
      <c r="E216" s="79"/>
      <c r="F216" s="110">
        <v>5042.3999999999996</v>
      </c>
      <c r="G216" s="110">
        <v>4589</v>
      </c>
      <c r="H216" s="1">
        <f>I216+J216+K216+L216+M216+N216+O216</f>
        <v>13148582.08</v>
      </c>
      <c r="I216" s="1">
        <v>0</v>
      </c>
      <c r="J216" s="1">
        <v>0</v>
      </c>
      <c r="K216" s="1">
        <v>12689539.470000001</v>
      </c>
      <c r="L216" s="1">
        <v>0</v>
      </c>
      <c r="M216" s="1">
        <v>0</v>
      </c>
      <c r="N216" s="1">
        <v>0</v>
      </c>
      <c r="O216" s="1">
        <v>459042.61</v>
      </c>
      <c r="P216" s="1"/>
      <c r="Q216" s="1">
        <f t="shared" si="33"/>
        <v>13148582.08</v>
      </c>
      <c r="R216" s="1"/>
      <c r="S216" s="1">
        <v>0</v>
      </c>
      <c r="T216" s="79">
        <v>2020</v>
      </c>
      <c r="U216" s="79">
        <v>2022</v>
      </c>
    </row>
    <row r="217" spans="1:21" ht="15.75">
      <c r="A217" s="79">
        <f t="shared" si="32"/>
        <v>192</v>
      </c>
      <c r="B217" s="186" t="s">
        <v>238</v>
      </c>
      <c r="C217" s="81">
        <v>1960</v>
      </c>
      <c r="D217" s="79"/>
      <c r="E217" s="79"/>
      <c r="F217" s="110">
        <v>1664.6</v>
      </c>
      <c r="G217" s="110">
        <v>1545.1</v>
      </c>
      <c r="H217" s="1">
        <f>I217+J217+K217+L217+M217+N217+O217</f>
        <v>5372732.6799999997</v>
      </c>
      <c r="I217" s="1">
        <v>0</v>
      </c>
      <c r="J217" s="1">
        <v>0</v>
      </c>
      <c r="K217" s="1">
        <v>5103428.63</v>
      </c>
      <c r="L217" s="1">
        <v>0</v>
      </c>
      <c r="M217" s="1">
        <v>0</v>
      </c>
      <c r="N217" s="1">
        <v>0</v>
      </c>
      <c r="O217" s="1">
        <v>269304.05</v>
      </c>
      <c r="P217" s="1"/>
      <c r="Q217" s="1">
        <f t="shared" si="33"/>
        <v>5372732.6799999997</v>
      </c>
      <c r="R217" s="1"/>
      <c r="S217" s="1">
        <v>0</v>
      </c>
      <c r="T217" s="79">
        <v>2020</v>
      </c>
      <c r="U217" s="79">
        <v>2022</v>
      </c>
    </row>
    <row r="218" spans="1:21" ht="15.75" customHeight="1">
      <c r="A218" s="290" t="s">
        <v>40</v>
      </c>
      <c r="B218" s="290"/>
      <c r="C218" s="81"/>
      <c r="D218" s="79"/>
      <c r="E218" s="79"/>
      <c r="F218" s="14">
        <f>SUM(F70:F217)</f>
        <v>680826.2</v>
      </c>
      <c r="G218" s="27">
        <f>SUM(G70:G217)</f>
        <v>583581.87</v>
      </c>
      <c r="H218" s="15">
        <f>SUM(H70:H217)</f>
        <v>806359144.86000001</v>
      </c>
      <c r="I218" s="15">
        <f t="shared" ref="I218:S218" si="34">SUM(I70:I217)</f>
        <v>50208758.759999998</v>
      </c>
      <c r="J218" s="15">
        <f t="shared" si="34"/>
        <v>434479004.61000001</v>
      </c>
      <c r="K218" s="15">
        <f t="shared" si="34"/>
        <v>167892360.06999999</v>
      </c>
      <c r="L218" s="15">
        <f t="shared" si="34"/>
        <v>850667.01</v>
      </c>
      <c r="M218" s="15">
        <f t="shared" si="34"/>
        <v>136642058.56999999</v>
      </c>
      <c r="N218" s="15">
        <f>SUM(N70:N217)</f>
        <v>5778845.7999999998</v>
      </c>
      <c r="O218" s="15">
        <f>SUM(O70:O217)</f>
        <v>10507450.039999999</v>
      </c>
      <c r="P218" s="15">
        <f>SUM(P70:P217)</f>
        <v>0</v>
      </c>
      <c r="Q218" s="15">
        <f>SUM(Q70:Q217)</f>
        <v>307978616.82999998</v>
      </c>
      <c r="R218" s="15">
        <f t="shared" si="34"/>
        <v>0</v>
      </c>
      <c r="S218" s="15">
        <f t="shared" si="34"/>
        <v>498380528.02999997</v>
      </c>
      <c r="T218" s="16" t="s">
        <v>31</v>
      </c>
      <c r="U218" s="16" t="s">
        <v>31</v>
      </c>
    </row>
    <row r="219" spans="1:21" ht="15.75">
      <c r="A219" s="289" t="s">
        <v>239</v>
      </c>
      <c r="B219" s="289"/>
      <c r="C219" s="289"/>
      <c r="D219" s="289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  <c r="O219" s="289"/>
      <c r="P219" s="289"/>
      <c r="Q219" s="289"/>
      <c r="R219" s="289"/>
      <c r="S219" s="289"/>
      <c r="T219" s="289"/>
      <c r="U219" s="289"/>
    </row>
    <row r="220" spans="1:21" ht="15.75">
      <c r="A220" s="79">
        <f>A217+1</f>
        <v>193</v>
      </c>
      <c r="B220" s="186" t="s">
        <v>240</v>
      </c>
      <c r="C220" s="115">
        <v>1954</v>
      </c>
      <c r="D220" s="116"/>
      <c r="E220" s="116"/>
      <c r="F220" s="117">
        <v>1865.5</v>
      </c>
      <c r="G220" s="118">
        <v>838</v>
      </c>
      <c r="H220" s="1">
        <f t="shared" ref="H220:H230" si="35">I220+J220+K220+L220+M220+N220+O220</f>
        <v>5338815.12</v>
      </c>
      <c r="I220" s="1">
        <v>0</v>
      </c>
      <c r="J220" s="1">
        <v>0</v>
      </c>
      <c r="K220" s="1">
        <f>ROUND(G220*6183.99*1.015,2)</f>
        <v>5259916.37</v>
      </c>
      <c r="L220" s="1">
        <v>0</v>
      </c>
      <c r="M220" s="1">
        <v>0</v>
      </c>
      <c r="N220" s="1">
        <v>0</v>
      </c>
      <c r="O220" s="1">
        <v>78898.75</v>
      </c>
      <c r="P220" s="1">
        <v>0</v>
      </c>
      <c r="Q220" s="1">
        <v>0</v>
      </c>
      <c r="R220" s="1">
        <v>0</v>
      </c>
      <c r="S220" s="13">
        <f t="shared" ref="S220:S230" si="36">H220</f>
        <v>5338815.12</v>
      </c>
      <c r="T220" s="79">
        <v>2020</v>
      </c>
      <c r="U220" s="79">
        <v>2020</v>
      </c>
    </row>
    <row r="221" spans="1:21" ht="15.75">
      <c r="A221" s="79">
        <f>A220+1</f>
        <v>194</v>
      </c>
      <c r="B221" s="210" t="s">
        <v>241</v>
      </c>
      <c r="C221" s="115">
        <v>1956</v>
      </c>
      <c r="D221" s="79"/>
      <c r="E221" s="79"/>
      <c r="F221" s="117">
        <v>1900.1</v>
      </c>
      <c r="G221" s="118">
        <v>888.1</v>
      </c>
      <c r="H221" s="1">
        <f t="shared" si="35"/>
        <v>7151117.7599999998</v>
      </c>
      <c r="I221" s="1">
        <f>ROUND(G221*(415.06+457.07+713.8)*1.015,2)</f>
        <v>1429591.4</v>
      </c>
      <c r="J221" s="1">
        <v>0</v>
      </c>
      <c r="K221" s="1">
        <f>ROUND(G221*6183.99*1.015,2)</f>
        <v>5574381.54</v>
      </c>
      <c r="L221" s="1">
        <v>0</v>
      </c>
      <c r="M221" s="1">
        <v>0</v>
      </c>
      <c r="N221" s="1">
        <v>0</v>
      </c>
      <c r="O221" s="1">
        <f>49713.4+97431.42</f>
        <v>147144.82</v>
      </c>
      <c r="P221" s="1">
        <v>0</v>
      </c>
      <c r="Q221" s="1">
        <v>0</v>
      </c>
      <c r="R221" s="1">
        <v>0</v>
      </c>
      <c r="S221" s="13">
        <f t="shared" si="36"/>
        <v>7151117.7599999998</v>
      </c>
      <c r="T221" s="79">
        <v>2020</v>
      </c>
      <c r="U221" s="79">
        <v>2020</v>
      </c>
    </row>
    <row r="222" spans="1:21" ht="15.75">
      <c r="A222" s="79">
        <f t="shared" ref="A222:A232" si="37">A221+1</f>
        <v>195</v>
      </c>
      <c r="B222" s="210" t="s">
        <v>242</v>
      </c>
      <c r="C222" s="115">
        <v>1952</v>
      </c>
      <c r="D222" s="79"/>
      <c r="E222" s="79"/>
      <c r="F222" s="117">
        <v>3414.5</v>
      </c>
      <c r="G222" s="118">
        <v>1352.6</v>
      </c>
      <c r="H222" s="1">
        <f t="shared" si="35"/>
        <v>12034677.140000001</v>
      </c>
      <c r="I222" s="1">
        <f>ROUND((G222*(415.06+457.07+713.8+2048.09)+947117.94)*1.015,2)</f>
        <v>5950430.79</v>
      </c>
      <c r="J222" s="1">
        <v>0</v>
      </c>
      <c r="K222" s="1">
        <f>ROUND(G222*4211.64*1.015,2)</f>
        <v>5782114.2300000004</v>
      </c>
      <c r="L222" s="1">
        <v>0</v>
      </c>
      <c r="M222" s="1">
        <v>0</v>
      </c>
      <c r="N222" s="1">
        <v>0</v>
      </c>
      <c r="O222" s="1">
        <f>60648.46+186483.66+55000</f>
        <v>302132.12</v>
      </c>
      <c r="P222" s="1">
        <v>0</v>
      </c>
      <c r="Q222" s="1">
        <v>0</v>
      </c>
      <c r="R222" s="1">
        <v>0</v>
      </c>
      <c r="S222" s="13">
        <f t="shared" si="36"/>
        <v>12034677.140000001</v>
      </c>
      <c r="T222" s="79">
        <v>2020</v>
      </c>
      <c r="U222" s="79">
        <v>2020</v>
      </c>
    </row>
    <row r="223" spans="1:21" ht="15.75">
      <c r="A223" s="79">
        <f t="shared" si="37"/>
        <v>196</v>
      </c>
      <c r="B223" s="210" t="s">
        <v>243</v>
      </c>
      <c r="C223" s="115">
        <v>1955</v>
      </c>
      <c r="D223" s="79"/>
      <c r="E223" s="79"/>
      <c r="F223" s="117">
        <v>1149.5999999999999</v>
      </c>
      <c r="G223" s="118">
        <v>617.5</v>
      </c>
      <c r="H223" s="1">
        <f t="shared" si="35"/>
        <v>5004215.0599999996</v>
      </c>
      <c r="I223" s="1">
        <f>ROUND(G223*(415.06+457.07+713.8)*1.015,2)</f>
        <v>994001.45</v>
      </c>
      <c r="J223" s="1">
        <v>0</v>
      </c>
      <c r="K223" s="1">
        <f>ROUND(G223*6183.99*1.015,2)</f>
        <v>3875893.03</v>
      </c>
      <c r="L223" s="1">
        <v>0</v>
      </c>
      <c r="M223" s="1">
        <v>0</v>
      </c>
      <c r="N223" s="1">
        <v>0</v>
      </c>
      <c r="O223" s="1">
        <f>46265.44+88055.14</f>
        <v>134320.57999999999</v>
      </c>
      <c r="P223" s="1">
        <v>0</v>
      </c>
      <c r="Q223" s="1">
        <v>0</v>
      </c>
      <c r="R223" s="1">
        <v>0</v>
      </c>
      <c r="S223" s="13">
        <f t="shared" si="36"/>
        <v>5004215.0599999996</v>
      </c>
      <c r="T223" s="79">
        <v>2020</v>
      </c>
      <c r="U223" s="79">
        <v>2020</v>
      </c>
    </row>
    <row r="224" spans="1:21" ht="15.75">
      <c r="A224" s="79">
        <f t="shared" si="37"/>
        <v>197</v>
      </c>
      <c r="B224" s="210" t="s">
        <v>244</v>
      </c>
      <c r="C224" s="119">
        <v>1987</v>
      </c>
      <c r="D224" s="120"/>
      <c r="E224" s="120"/>
      <c r="F224" s="90">
        <v>19602.7</v>
      </c>
      <c r="G224" s="92">
        <v>14758.7</v>
      </c>
      <c r="H224" s="1">
        <f t="shared" si="35"/>
        <v>1500000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1500000</v>
      </c>
      <c r="P224" s="1">
        <v>0</v>
      </c>
      <c r="Q224" s="1">
        <v>0</v>
      </c>
      <c r="R224" s="1">
        <v>0</v>
      </c>
      <c r="S224" s="13">
        <f t="shared" si="36"/>
        <v>1500000</v>
      </c>
      <c r="T224" s="79">
        <v>2020</v>
      </c>
      <c r="U224" s="79">
        <v>2020</v>
      </c>
    </row>
    <row r="225" spans="1:21" ht="15.75">
      <c r="A225" s="79">
        <f t="shared" si="37"/>
        <v>198</v>
      </c>
      <c r="B225" s="210" t="s">
        <v>245</v>
      </c>
      <c r="C225" s="119">
        <v>1989</v>
      </c>
      <c r="D225" s="120"/>
      <c r="E225" s="120"/>
      <c r="F225" s="90">
        <v>5180.8999999999996</v>
      </c>
      <c r="G225" s="90">
        <v>3727.4</v>
      </c>
      <c r="H225" s="1">
        <f t="shared" si="35"/>
        <v>3037801.66</v>
      </c>
      <c r="I225" s="1">
        <v>0</v>
      </c>
      <c r="J225" s="1">
        <f>3037801.66*1-O225</f>
        <v>2961856.62</v>
      </c>
      <c r="K225" s="1">
        <v>0</v>
      </c>
      <c r="L225" s="1">
        <v>0</v>
      </c>
      <c r="M225" s="1">
        <v>0</v>
      </c>
      <c r="N225" s="1">
        <v>0</v>
      </c>
      <c r="O225" s="1">
        <v>75945.039999999994</v>
      </c>
      <c r="P225" s="1">
        <v>0</v>
      </c>
      <c r="Q225" s="1">
        <v>0</v>
      </c>
      <c r="R225" s="1">
        <v>0</v>
      </c>
      <c r="S225" s="13">
        <f t="shared" si="36"/>
        <v>3037801.66</v>
      </c>
      <c r="T225" s="79">
        <v>2020</v>
      </c>
      <c r="U225" s="79">
        <v>2020</v>
      </c>
    </row>
    <row r="226" spans="1:21" ht="15.75">
      <c r="A226" s="79">
        <f t="shared" si="37"/>
        <v>199</v>
      </c>
      <c r="B226" s="210" t="s">
        <v>246</v>
      </c>
      <c r="C226" s="119">
        <v>1992</v>
      </c>
      <c r="D226" s="120"/>
      <c r="E226" s="120"/>
      <c r="F226" s="90">
        <v>5141</v>
      </c>
      <c r="G226" s="92">
        <v>3731.3</v>
      </c>
      <c r="H226" s="1">
        <f t="shared" si="35"/>
        <v>3037801.66</v>
      </c>
      <c r="I226" s="1">
        <v>0</v>
      </c>
      <c r="J226" s="1">
        <f>3037801.66*1-O226</f>
        <v>2961856.62</v>
      </c>
      <c r="K226" s="1">
        <v>0</v>
      </c>
      <c r="L226" s="1">
        <v>0</v>
      </c>
      <c r="M226" s="1">
        <v>0</v>
      </c>
      <c r="N226" s="1">
        <v>0</v>
      </c>
      <c r="O226" s="1">
        <v>75945.039999999994</v>
      </c>
      <c r="P226" s="1">
        <v>0</v>
      </c>
      <c r="Q226" s="1">
        <v>0</v>
      </c>
      <c r="R226" s="1">
        <v>0</v>
      </c>
      <c r="S226" s="13">
        <f t="shared" si="36"/>
        <v>3037801.66</v>
      </c>
      <c r="T226" s="79">
        <v>2020</v>
      </c>
      <c r="U226" s="79">
        <v>2020</v>
      </c>
    </row>
    <row r="227" spans="1:21" ht="15.75">
      <c r="A227" s="79">
        <f t="shared" si="37"/>
        <v>200</v>
      </c>
      <c r="B227" s="266" t="s">
        <v>247</v>
      </c>
      <c r="C227" s="119">
        <v>1987</v>
      </c>
      <c r="D227" s="120"/>
      <c r="E227" s="120"/>
      <c r="F227" s="90">
        <v>4826.2</v>
      </c>
      <c r="G227" s="90">
        <v>3415</v>
      </c>
      <c r="H227" s="1">
        <f t="shared" si="35"/>
        <v>9670735.9000000004</v>
      </c>
      <c r="I227" s="1">
        <v>0</v>
      </c>
      <c r="J227" s="1">
        <v>0</v>
      </c>
      <c r="K227" s="1">
        <f>ROUND(G227*2760.17*1.015,2)</f>
        <v>9567370.2599999998</v>
      </c>
      <c r="L227" s="1">
        <v>0</v>
      </c>
      <c r="M227" s="1">
        <v>0</v>
      </c>
      <c r="N227" s="1">
        <v>0</v>
      </c>
      <c r="O227" s="1">
        <v>103365.64</v>
      </c>
      <c r="P227" s="1">
        <v>0</v>
      </c>
      <c r="Q227" s="1">
        <v>0</v>
      </c>
      <c r="R227" s="1">
        <v>0</v>
      </c>
      <c r="S227" s="1">
        <f t="shared" si="36"/>
        <v>9670735.9000000004</v>
      </c>
      <c r="T227" s="79">
        <v>2020</v>
      </c>
      <c r="U227" s="79">
        <v>2020</v>
      </c>
    </row>
    <row r="228" spans="1:21" ht="15.75">
      <c r="A228" s="79">
        <f t="shared" si="37"/>
        <v>201</v>
      </c>
      <c r="B228" s="210" t="s">
        <v>248</v>
      </c>
      <c r="C228" s="119">
        <v>1993</v>
      </c>
      <c r="D228" s="120"/>
      <c r="E228" s="120"/>
      <c r="F228" s="90">
        <v>4880.3999999999996</v>
      </c>
      <c r="G228" s="92">
        <v>3797.1</v>
      </c>
      <c r="H228" s="1">
        <f t="shared" si="35"/>
        <v>6075603.3200000003</v>
      </c>
      <c r="I228" s="1">
        <v>0</v>
      </c>
      <c r="J228" s="1">
        <f>ROUND(2*3037801.66,2)-O228</f>
        <v>5923713.2400000002</v>
      </c>
      <c r="K228" s="1">
        <v>0</v>
      </c>
      <c r="L228" s="1">
        <v>0</v>
      </c>
      <c r="M228" s="1">
        <v>0</v>
      </c>
      <c r="N228" s="1">
        <v>0</v>
      </c>
      <c r="O228" s="1">
        <v>151890.07999999999</v>
      </c>
      <c r="P228" s="1">
        <v>0</v>
      </c>
      <c r="Q228" s="1">
        <v>0</v>
      </c>
      <c r="R228" s="1">
        <v>0</v>
      </c>
      <c r="S228" s="1">
        <f t="shared" si="36"/>
        <v>6075603.3200000003</v>
      </c>
      <c r="T228" s="79">
        <v>2020</v>
      </c>
      <c r="U228" s="79">
        <v>2020</v>
      </c>
    </row>
    <row r="229" spans="1:21" ht="15.75">
      <c r="A229" s="79">
        <f t="shared" si="37"/>
        <v>202</v>
      </c>
      <c r="B229" s="210" t="s">
        <v>249</v>
      </c>
      <c r="C229" s="119">
        <v>1964</v>
      </c>
      <c r="D229" s="120"/>
      <c r="E229" s="120"/>
      <c r="F229" s="90">
        <v>2369.4</v>
      </c>
      <c r="G229" s="92">
        <v>1909.6</v>
      </c>
      <c r="H229" s="1">
        <f t="shared" si="35"/>
        <v>6366861.5499999998</v>
      </c>
      <c r="I229" s="1">
        <v>0</v>
      </c>
      <c r="J229" s="1">
        <v>0</v>
      </c>
      <c r="K229" s="1">
        <v>6272770</v>
      </c>
      <c r="L229" s="1">
        <v>0</v>
      </c>
      <c r="M229" s="1">
        <v>0</v>
      </c>
      <c r="N229" s="1">
        <v>0</v>
      </c>
      <c r="O229" s="1">
        <v>94091.55</v>
      </c>
      <c r="P229" s="1">
        <v>0</v>
      </c>
      <c r="Q229" s="1">
        <v>0</v>
      </c>
      <c r="R229" s="1">
        <v>0</v>
      </c>
      <c r="S229" s="1">
        <f t="shared" si="36"/>
        <v>6366861.5499999998</v>
      </c>
      <c r="T229" s="79">
        <v>2020</v>
      </c>
      <c r="U229" s="79">
        <v>2020</v>
      </c>
    </row>
    <row r="230" spans="1:21" ht="15.75">
      <c r="A230" s="79">
        <f t="shared" si="37"/>
        <v>203</v>
      </c>
      <c r="B230" s="210" t="s">
        <v>250</v>
      </c>
      <c r="C230" s="95">
        <v>1987</v>
      </c>
      <c r="D230" s="79"/>
      <c r="E230" s="79"/>
      <c r="F230" s="102">
        <v>4970.3</v>
      </c>
      <c r="G230" s="102">
        <v>3414.6</v>
      </c>
      <c r="H230" s="1">
        <f t="shared" si="35"/>
        <v>16531802.74</v>
      </c>
      <c r="I230" s="1">
        <f>ROUND(G230*991.3*1.015,2)</f>
        <v>3435666.37</v>
      </c>
      <c r="J230" s="1">
        <v>0</v>
      </c>
      <c r="K230" s="1">
        <f>ROUND(G230*2604.66*1.015,2)</f>
        <v>9027280.1199999992</v>
      </c>
      <c r="L230" s="1">
        <v>0</v>
      </c>
      <c r="M230" s="1">
        <f>ROUND(G230*1101.5*1.015,2)</f>
        <v>3817599.63</v>
      </c>
      <c r="N230" s="1">
        <v>0</v>
      </c>
      <c r="O230" s="1">
        <f>92153.28+96259.68+62843.66</f>
        <v>251256.62</v>
      </c>
      <c r="P230" s="1">
        <v>0</v>
      </c>
      <c r="Q230" s="1">
        <v>0</v>
      </c>
      <c r="R230" s="1">
        <v>0</v>
      </c>
      <c r="S230" s="13">
        <f t="shared" si="36"/>
        <v>16531802.74</v>
      </c>
      <c r="T230" s="79">
        <v>2020</v>
      </c>
      <c r="U230" s="79">
        <v>2020</v>
      </c>
    </row>
    <row r="231" spans="1:21" ht="15.75">
      <c r="A231" s="79">
        <f t="shared" si="37"/>
        <v>204</v>
      </c>
      <c r="B231" s="210" t="s">
        <v>251</v>
      </c>
      <c r="C231" s="95">
        <v>1956</v>
      </c>
      <c r="D231" s="79"/>
      <c r="E231" s="79"/>
      <c r="F231" s="102">
        <v>974.2</v>
      </c>
      <c r="G231" s="102">
        <v>728</v>
      </c>
      <c r="H231" s="1">
        <f>I231+J231+K231+L231+M231+N231+O231</f>
        <v>3430059.81</v>
      </c>
      <c r="I231" s="1">
        <v>0</v>
      </c>
      <c r="J231" s="1">
        <v>0</v>
      </c>
      <c r="K231" s="1">
        <v>3201871</v>
      </c>
      <c r="L231" s="1">
        <v>0</v>
      </c>
      <c r="M231" s="1">
        <v>0</v>
      </c>
      <c r="N231" s="1">
        <v>0</v>
      </c>
      <c r="O231" s="1">
        <v>228188.81</v>
      </c>
      <c r="P231" s="1">
        <v>0</v>
      </c>
      <c r="Q231" s="1">
        <v>3201871</v>
      </c>
      <c r="R231" s="1">
        <v>0</v>
      </c>
      <c r="S231" s="1">
        <v>228188.81</v>
      </c>
      <c r="T231" s="79">
        <v>2020</v>
      </c>
      <c r="U231" s="79">
        <v>2021</v>
      </c>
    </row>
    <row r="232" spans="1:21" ht="15.75">
      <c r="A232" s="79">
        <f t="shared" si="37"/>
        <v>205</v>
      </c>
      <c r="B232" s="210" t="s">
        <v>252</v>
      </c>
      <c r="C232" s="95">
        <v>1957</v>
      </c>
      <c r="D232" s="79"/>
      <c r="E232" s="79"/>
      <c r="F232" s="102">
        <v>974.2</v>
      </c>
      <c r="G232" s="102">
        <v>728</v>
      </c>
      <c r="H232" s="1">
        <f>I232+J232+K232+L232+M232+N232+O232</f>
        <v>4683210.8099999996</v>
      </c>
      <c r="I232" s="1">
        <v>0</v>
      </c>
      <c r="J232" s="1">
        <v>0</v>
      </c>
      <c r="K232" s="1">
        <v>4455022</v>
      </c>
      <c r="L232" s="1">
        <v>0</v>
      </c>
      <c r="M232" s="1">
        <v>0</v>
      </c>
      <c r="N232" s="1">
        <v>0</v>
      </c>
      <c r="O232" s="1">
        <v>228188.81</v>
      </c>
      <c r="P232" s="1">
        <v>0</v>
      </c>
      <c r="Q232" s="1">
        <v>4455022</v>
      </c>
      <c r="R232" s="1">
        <v>0</v>
      </c>
      <c r="S232" s="1">
        <v>228188.81</v>
      </c>
      <c r="T232" s="79">
        <v>2020</v>
      </c>
      <c r="U232" s="79">
        <v>2021</v>
      </c>
    </row>
    <row r="233" spans="1:21" ht="15.75">
      <c r="A233" s="290" t="s">
        <v>40</v>
      </c>
      <c r="B233" s="290"/>
      <c r="C233" s="83"/>
      <c r="D233" s="116"/>
      <c r="E233" s="116"/>
      <c r="F233" s="27">
        <f t="shared" ref="F233:K233" si="38">SUM(F220:F232)</f>
        <v>57249</v>
      </c>
      <c r="G233" s="27">
        <f t="shared" si="38"/>
        <v>39905.9</v>
      </c>
      <c r="H233" s="27">
        <f t="shared" si="38"/>
        <v>83862702.530000001</v>
      </c>
      <c r="I233" s="27">
        <f>SUM(I220:I232)</f>
        <v>11809690.01</v>
      </c>
      <c r="J233" s="27">
        <f t="shared" si="38"/>
        <v>11847426.48</v>
      </c>
      <c r="K233" s="27">
        <f t="shared" si="38"/>
        <v>53016618.549999997</v>
      </c>
      <c r="L233" s="15">
        <f t="shared" ref="L233:S233" si="39">SUM(L220:L232)</f>
        <v>0</v>
      </c>
      <c r="M233" s="15">
        <f t="shared" si="39"/>
        <v>3817599.63</v>
      </c>
      <c r="N233" s="15">
        <f t="shared" si="39"/>
        <v>0</v>
      </c>
      <c r="O233" s="15">
        <f t="shared" si="39"/>
        <v>3371367.86</v>
      </c>
      <c r="P233" s="15">
        <f t="shared" si="39"/>
        <v>0</v>
      </c>
      <c r="Q233" s="15">
        <f t="shared" si="39"/>
        <v>7656893</v>
      </c>
      <c r="R233" s="15">
        <f t="shared" si="39"/>
        <v>0</v>
      </c>
      <c r="S233" s="15">
        <f t="shared" si="39"/>
        <v>76205809.530000001</v>
      </c>
      <c r="T233" s="16" t="s">
        <v>31</v>
      </c>
      <c r="U233" s="16" t="s">
        <v>31</v>
      </c>
    </row>
    <row r="234" spans="1:21" ht="15.75">
      <c r="A234" s="289" t="s">
        <v>253</v>
      </c>
      <c r="B234" s="289"/>
      <c r="C234" s="289"/>
      <c r="D234" s="289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  <c r="O234" s="289"/>
      <c r="P234" s="289"/>
      <c r="Q234" s="289"/>
      <c r="R234" s="289"/>
      <c r="S234" s="289"/>
      <c r="T234" s="289"/>
      <c r="U234" s="289"/>
    </row>
    <row r="235" spans="1:21" ht="15.75">
      <c r="A235" s="79">
        <f>A232+1</f>
        <v>206</v>
      </c>
      <c r="B235" s="267" t="s">
        <v>254</v>
      </c>
      <c r="C235" s="81">
        <v>1974</v>
      </c>
      <c r="D235" s="79"/>
      <c r="E235" s="79"/>
      <c r="F235" s="90">
        <v>5754.2</v>
      </c>
      <c r="G235" s="90">
        <v>4247.2</v>
      </c>
      <c r="H235" s="1">
        <f>K235+O235</f>
        <v>12013551.449999999</v>
      </c>
      <c r="I235" s="1">
        <v>0</v>
      </c>
      <c r="J235" s="1">
        <v>0</v>
      </c>
      <c r="K235" s="1">
        <f>ROUND(2760.17*G235*1.015,2)</f>
        <v>11898838.93</v>
      </c>
      <c r="L235" s="1">
        <v>0</v>
      </c>
      <c r="M235" s="1">
        <v>0</v>
      </c>
      <c r="N235" s="1">
        <v>0</v>
      </c>
      <c r="O235" s="1">
        <v>114712.52</v>
      </c>
      <c r="P235" s="1">
        <v>0</v>
      </c>
      <c r="Q235" s="1">
        <v>0</v>
      </c>
      <c r="R235" s="1">
        <v>0</v>
      </c>
      <c r="S235" s="13">
        <f>'[2]Форма 1'!$S$9</f>
        <v>12013551.449999999</v>
      </c>
      <c r="T235" s="79">
        <v>2020</v>
      </c>
      <c r="U235" s="79">
        <v>2020</v>
      </c>
    </row>
    <row r="236" spans="1:21" ht="15.75">
      <c r="A236" s="79">
        <f>A235+1</f>
        <v>207</v>
      </c>
      <c r="B236" s="186" t="s">
        <v>255</v>
      </c>
      <c r="C236" s="81">
        <v>1989</v>
      </c>
      <c r="D236" s="79"/>
      <c r="E236" s="79"/>
      <c r="F236" s="90">
        <v>8441.7000000000007</v>
      </c>
      <c r="G236" s="90">
        <v>7342.9</v>
      </c>
      <c r="H236" s="1">
        <f>J236+O236</f>
        <v>6227493.4000000004</v>
      </c>
      <c r="I236" s="1">
        <v>0</v>
      </c>
      <c r="J236" s="1">
        <f>2918085.34*1.015*2</f>
        <v>5923713.2400000002</v>
      </c>
      <c r="K236" s="1">
        <v>0</v>
      </c>
      <c r="L236" s="1">
        <v>0</v>
      </c>
      <c r="M236" s="1">
        <v>0</v>
      </c>
      <c r="N236" s="1">
        <v>0</v>
      </c>
      <c r="O236" s="1">
        <f>75945.04*4</f>
        <v>303780.15999999997</v>
      </c>
      <c r="P236" s="1">
        <v>0</v>
      </c>
      <c r="Q236" s="1">
        <v>0</v>
      </c>
      <c r="R236" s="1">
        <v>0</v>
      </c>
      <c r="S236" s="13">
        <f>H236</f>
        <v>6227493.4000000004</v>
      </c>
      <c r="T236" s="79">
        <v>2020</v>
      </c>
      <c r="U236" s="79">
        <v>2020</v>
      </c>
    </row>
    <row r="237" spans="1:21" ht="15.75">
      <c r="A237" s="79">
        <f>A236+1</f>
        <v>208</v>
      </c>
      <c r="B237" s="186" t="s">
        <v>256</v>
      </c>
      <c r="C237" s="81">
        <v>1950</v>
      </c>
      <c r="D237" s="79"/>
      <c r="E237" s="79"/>
      <c r="F237" s="110">
        <v>637.1</v>
      </c>
      <c r="G237" s="110">
        <v>373.4</v>
      </c>
      <c r="H237" s="1">
        <f>K237+O237</f>
        <v>2387337.04</v>
      </c>
      <c r="I237" s="1">
        <v>0</v>
      </c>
      <c r="J237" s="1">
        <v>0</v>
      </c>
      <c r="K237" s="1">
        <f>ROUND(6183.99*G237*1.015,2)+0.01</f>
        <v>2343738.4</v>
      </c>
      <c r="L237" s="1">
        <v>0</v>
      </c>
      <c r="M237" s="1">
        <v>0</v>
      </c>
      <c r="N237" s="1">
        <v>0</v>
      </c>
      <c r="O237" s="1">
        <v>43598.64</v>
      </c>
      <c r="P237" s="1">
        <v>0</v>
      </c>
      <c r="Q237" s="1">
        <v>0</v>
      </c>
      <c r="R237" s="1">
        <v>0</v>
      </c>
      <c r="S237" s="13">
        <f>H237</f>
        <v>2387337.04</v>
      </c>
      <c r="T237" s="79">
        <v>2020</v>
      </c>
      <c r="U237" s="79">
        <v>2020</v>
      </c>
    </row>
    <row r="238" spans="1:21" ht="15.75">
      <c r="A238" s="79">
        <f>A237+1</f>
        <v>209</v>
      </c>
      <c r="B238" s="268" t="s">
        <v>257</v>
      </c>
      <c r="C238" s="81">
        <v>1982</v>
      </c>
      <c r="D238" s="79"/>
      <c r="E238" s="79"/>
      <c r="F238" s="90">
        <v>7444.6</v>
      </c>
      <c r="G238" s="90">
        <v>5727.4</v>
      </c>
      <c r="H238" s="1">
        <f>K238+O238</f>
        <v>15141698.630000001</v>
      </c>
      <c r="I238" s="1">
        <v>0</v>
      </c>
      <c r="J238" s="1">
        <v>0</v>
      </c>
      <c r="K238" s="1">
        <f>ROUND(2604.66*G238*1.015,2)-O238</f>
        <v>15023365.43</v>
      </c>
      <c r="L238" s="1" t="s">
        <v>59</v>
      </c>
      <c r="M238" s="1">
        <v>0</v>
      </c>
      <c r="N238" s="1">
        <v>0</v>
      </c>
      <c r="O238" s="1">
        <v>118333.2</v>
      </c>
      <c r="P238" s="1">
        <v>0</v>
      </c>
      <c r="Q238" s="1">
        <v>0</v>
      </c>
      <c r="R238" s="1">
        <v>0</v>
      </c>
      <c r="S238" s="13">
        <f>H238</f>
        <v>15141698.630000001</v>
      </c>
      <c r="T238" s="79">
        <v>2020</v>
      </c>
      <c r="U238" s="79">
        <v>2020</v>
      </c>
    </row>
    <row r="239" spans="1:21" ht="15.75">
      <c r="A239" s="79">
        <f>A238+1</f>
        <v>210</v>
      </c>
      <c r="B239" s="186" t="s">
        <v>258</v>
      </c>
      <c r="C239" s="81">
        <v>1994</v>
      </c>
      <c r="D239" s="79"/>
      <c r="E239" s="79"/>
      <c r="F239" s="90">
        <v>892.2</v>
      </c>
      <c r="G239" s="90">
        <v>785.3</v>
      </c>
      <c r="H239" s="1">
        <f>K239+O239</f>
        <v>5899838.8899999997</v>
      </c>
      <c r="I239" s="1">
        <v>0</v>
      </c>
      <c r="J239" s="1">
        <v>0</v>
      </c>
      <c r="K239" s="1">
        <f>ROUND(7266.66*G239*1.015,2)</f>
        <v>5792105.7199999997</v>
      </c>
      <c r="L239" s="1">
        <v>0</v>
      </c>
      <c r="M239" s="1">
        <v>0</v>
      </c>
      <c r="N239" s="1">
        <v>0</v>
      </c>
      <c r="O239" s="1">
        <v>107733.17</v>
      </c>
      <c r="P239" s="1">
        <v>0</v>
      </c>
      <c r="Q239" s="1">
        <v>0</v>
      </c>
      <c r="R239" s="1">
        <v>0</v>
      </c>
      <c r="S239" s="13">
        <f>H239</f>
        <v>5899838.8899999997</v>
      </c>
      <c r="T239" s="79">
        <v>2020</v>
      </c>
      <c r="U239" s="79">
        <v>2020</v>
      </c>
    </row>
    <row r="240" spans="1:21" ht="15.75">
      <c r="A240" s="79">
        <f>A239+1</f>
        <v>211</v>
      </c>
      <c r="B240" s="186" t="s">
        <v>259</v>
      </c>
      <c r="C240" s="81">
        <v>1954</v>
      </c>
      <c r="D240" s="79"/>
      <c r="E240" s="79"/>
      <c r="F240" s="90">
        <v>553.70000000000005</v>
      </c>
      <c r="G240" s="90">
        <v>509.7</v>
      </c>
      <c r="H240" s="1">
        <f>K240+O240</f>
        <v>3301430.47</v>
      </c>
      <c r="I240" s="1">
        <v>0</v>
      </c>
      <c r="J240" s="1"/>
      <c r="K240" s="1">
        <f>ROUND(6183.99*G240*1.015,2)</f>
        <v>3199259.4</v>
      </c>
      <c r="L240" s="1">
        <v>0</v>
      </c>
      <c r="M240" s="1">
        <v>0</v>
      </c>
      <c r="N240" s="1">
        <v>0</v>
      </c>
      <c r="O240" s="1">
        <v>102171.07</v>
      </c>
      <c r="P240" s="1"/>
      <c r="Q240" s="1"/>
      <c r="R240" s="1"/>
      <c r="S240" s="13">
        <f>H240</f>
        <v>3301430.47</v>
      </c>
      <c r="T240" s="79">
        <v>2020</v>
      </c>
      <c r="U240" s="79">
        <v>2020</v>
      </c>
    </row>
    <row r="241" spans="1:21" ht="15.75">
      <c r="A241" s="290" t="s">
        <v>40</v>
      </c>
      <c r="B241" s="290"/>
      <c r="C241" s="81"/>
      <c r="D241" s="79"/>
      <c r="E241" s="79"/>
      <c r="F241" s="14">
        <f>SUM(F235:F240)</f>
        <v>23723.5</v>
      </c>
      <c r="G241" s="27">
        <f>SUM(G235:G240)</f>
        <v>18985.900000000001</v>
      </c>
      <c r="H241" s="15">
        <f>SUM(H235:H240)</f>
        <v>44971349.880000003</v>
      </c>
      <c r="I241" s="1">
        <v>0</v>
      </c>
      <c r="J241" s="15">
        <f t="shared" ref="J241:S241" si="40">SUM(J235:J240)</f>
        <v>5923713.2400000002</v>
      </c>
      <c r="K241" s="15">
        <f t="shared" si="40"/>
        <v>38257307.880000003</v>
      </c>
      <c r="L241" s="15">
        <f t="shared" si="40"/>
        <v>0</v>
      </c>
      <c r="M241" s="15">
        <f t="shared" si="40"/>
        <v>0</v>
      </c>
      <c r="N241" s="15">
        <f t="shared" si="40"/>
        <v>0</v>
      </c>
      <c r="O241" s="15">
        <f t="shared" si="40"/>
        <v>790328.76</v>
      </c>
      <c r="P241" s="15">
        <f t="shared" si="40"/>
        <v>0</v>
      </c>
      <c r="Q241" s="15">
        <f t="shared" si="40"/>
        <v>0</v>
      </c>
      <c r="R241" s="15">
        <f t="shared" si="40"/>
        <v>0</v>
      </c>
      <c r="S241" s="27">
        <f t="shared" si="40"/>
        <v>44971349.880000003</v>
      </c>
      <c r="T241" s="16" t="s">
        <v>31</v>
      </c>
      <c r="U241" s="16" t="s">
        <v>31</v>
      </c>
    </row>
    <row r="242" spans="1:21" ht="15.75">
      <c r="A242" s="289" t="s">
        <v>260</v>
      </c>
      <c r="B242" s="289"/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</row>
    <row r="243" spans="1:21" ht="15.75">
      <c r="A243" s="79">
        <f>A240+1</f>
        <v>212</v>
      </c>
      <c r="B243" s="255" t="s">
        <v>261</v>
      </c>
      <c r="C243" s="95">
        <v>1975</v>
      </c>
      <c r="D243" s="95"/>
      <c r="E243" s="95"/>
      <c r="F243" s="32">
        <v>4014.9</v>
      </c>
      <c r="G243" s="90">
        <v>3480.8</v>
      </c>
      <c r="H243" s="1">
        <f t="shared" ref="H243:H254" si="41">I243+J243+K243+L243+M243+N243+O243</f>
        <v>2014343</v>
      </c>
      <c r="I243" s="1">
        <f>1080000+934343</f>
        <v>2014343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/>
      <c r="R243" s="1">
        <v>0</v>
      </c>
      <c r="S243" s="13">
        <f>H243-Q243</f>
        <v>2014343</v>
      </c>
      <c r="T243" s="79">
        <v>2020</v>
      </c>
      <c r="U243" s="79">
        <v>2020</v>
      </c>
    </row>
    <row r="244" spans="1:21" ht="15.75">
      <c r="A244" s="79">
        <f t="shared" ref="A244:A260" si="42">A243+1</f>
        <v>213</v>
      </c>
      <c r="B244" s="255" t="s">
        <v>262</v>
      </c>
      <c r="C244" s="95">
        <v>1986</v>
      </c>
      <c r="D244" s="95"/>
      <c r="E244" s="95"/>
      <c r="F244" s="32">
        <v>1929.7</v>
      </c>
      <c r="G244" s="90">
        <v>1687</v>
      </c>
      <c r="H244" s="1">
        <f t="shared" si="41"/>
        <v>2918085.34</v>
      </c>
      <c r="I244" s="1">
        <v>0</v>
      </c>
      <c r="J244" s="1">
        <f>(3037801.66-75945.04)/1.015</f>
        <v>2918085.34</v>
      </c>
      <c r="K244" s="1">
        <v>0</v>
      </c>
      <c r="L244" s="1">
        <v>0</v>
      </c>
      <c r="M244" s="1"/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3">
        <f t="shared" ref="S244:S260" si="43">H244</f>
        <v>2918085.34</v>
      </c>
      <c r="T244" s="79">
        <v>2020</v>
      </c>
      <c r="U244" s="79">
        <v>2020</v>
      </c>
    </row>
    <row r="245" spans="1:21" ht="15.75">
      <c r="A245" s="79">
        <f t="shared" si="42"/>
        <v>214</v>
      </c>
      <c r="B245" s="255" t="s">
        <v>263</v>
      </c>
      <c r="C245" s="95">
        <v>1975</v>
      </c>
      <c r="D245" s="95"/>
      <c r="E245" s="95"/>
      <c r="F245" s="32">
        <v>3984.7</v>
      </c>
      <c r="G245" s="90">
        <v>3044.3</v>
      </c>
      <c r="H245" s="1">
        <f t="shared" si="41"/>
        <v>4383800</v>
      </c>
      <c r="I245" s="1">
        <v>0</v>
      </c>
      <c r="J245" s="1">
        <v>0</v>
      </c>
      <c r="K245" s="1">
        <v>4383800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3">
        <f t="shared" si="43"/>
        <v>4383800</v>
      </c>
      <c r="T245" s="79">
        <v>2020</v>
      </c>
      <c r="U245" s="79">
        <v>2020</v>
      </c>
    </row>
    <row r="246" spans="1:21" ht="15.75">
      <c r="A246" s="79">
        <f t="shared" si="42"/>
        <v>215</v>
      </c>
      <c r="B246" s="255" t="s">
        <v>264</v>
      </c>
      <c r="C246" s="95">
        <v>1978</v>
      </c>
      <c r="D246" s="95"/>
      <c r="E246" s="95"/>
      <c r="F246" s="32">
        <v>19579.099999999999</v>
      </c>
      <c r="G246" s="90">
        <v>15554.4</v>
      </c>
      <c r="H246" s="1">
        <f t="shared" si="41"/>
        <v>12131280</v>
      </c>
      <c r="I246" s="1">
        <v>0</v>
      </c>
      <c r="J246" s="1">
        <v>0</v>
      </c>
      <c r="K246" s="1">
        <v>12131280</v>
      </c>
      <c r="L246" s="1">
        <v>0</v>
      </c>
      <c r="M246" s="1"/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3">
        <f t="shared" si="43"/>
        <v>12131280</v>
      </c>
      <c r="T246" s="79">
        <v>2020</v>
      </c>
      <c r="U246" s="79">
        <v>2020</v>
      </c>
    </row>
    <row r="247" spans="1:21" ht="15.75">
      <c r="A247" s="79">
        <f t="shared" si="42"/>
        <v>216</v>
      </c>
      <c r="B247" s="255" t="s">
        <v>1046</v>
      </c>
      <c r="C247" s="95">
        <v>1969</v>
      </c>
      <c r="D247" s="95"/>
      <c r="E247" s="95"/>
      <c r="F247" s="32">
        <v>3979.1</v>
      </c>
      <c r="G247" s="90">
        <v>3666.8</v>
      </c>
      <c r="H247" s="1">
        <f t="shared" si="41"/>
        <v>806925</v>
      </c>
      <c r="I247" s="1">
        <v>806925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3">
        <f t="shared" si="43"/>
        <v>806925</v>
      </c>
      <c r="T247" s="79">
        <v>2020</v>
      </c>
      <c r="U247" s="79">
        <v>2020</v>
      </c>
    </row>
    <row r="248" spans="1:21" ht="15.75">
      <c r="A248" s="79">
        <f t="shared" si="42"/>
        <v>217</v>
      </c>
      <c r="B248" s="255" t="s">
        <v>265</v>
      </c>
      <c r="C248" s="95">
        <v>1979</v>
      </c>
      <c r="D248" s="95"/>
      <c r="E248" s="95"/>
      <c r="F248" s="32">
        <v>2568.6</v>
      </c>
      <c r="G248" s="90">
        <v>2273.9</v>
      </c>
      <c r="H248" s="1">
        <f t="shared" si="41"/>
        <v>2504700.85</v>
      </c>
      <c r="I248" s="1">
        <v>0</v>
      </c>
      <c r="J248" s="1">
        <v>0</v>
      </c>
      <c r="K248" s="1">
        <v>0</v>
      </c>
      <c r="L248" s="1">
        <v>0</v>
      </c>
      <c r="M248" s="1">
        <v>2504700.85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3">
        <f t="shared" si="43"/>
        <v>2504700.85</v>
      </c>
      <c r="T248" s="79">
        <v>2020</v>
      </c>
      <c r="U248" s="79">
        <v>2020</v>
      </c>
    </row>
    <row r="249" spans="1:21" ht="15.75">
      <c r="A249" s="79">
        <f t="shared" si="42"/>
        <v>218</v>
      </c>
      <c r="B249" s="255" t="s">
        <v>266</v>
      </c>
      <c r="C249" s="95">
        <v>1977</v>
      </c>
      <c r="D249" s="95"/>
      <c r="E249" s="95"/>
      <c r="F249" s="32">
        <v>5187.3999999999996</v>
      </c>
      <c r="G249" s="90">
        <v>4512.6000000000004</v>
      </c>
      <c r="H249" s="1">
        <f t="shared" si="41"/>
        <v>2500000</v>
      </c>
      <c r="I249" s="1">
        <v>2500000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3">
        <f t="shared" si="43"/>
        <v>2500000</v>
      </c>
      <c r="T249" s="79">
        <v>2020</v>
      </c>
      <c r="U249" s="79">
        <v>2020</v>
      </c>
    </row>
    <row r="250" spans="1:21" ht="15.75">
      <c r="A250" s="79">
        <f t="shared" si="42"/>
        <v>219</v>
      </c>
      <c r="B250" s="255" t="s">
        <v>267</v>
      </c>
      <c r="C250" s="95">
        <v>1967</v>
      </c>
      <c r="D250" s="95"/>
      <c r="E250" s="95"/>
      <c r="F250" s="32">
        <v>3485.4</v>
      </c>
      <c r="G250" s="90">
        <v>3278.1</v>
      </c>
      <c r="H250" s="1">
        <f t="shared" si="41"/>
        <v>109429.2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109429.2</v>
      </c>
      <c r="P250" s="1">
        <v>0</v>
      </c>
      <c r="Q250" s="1">
        <v>0</v>
      </c>
      <c r="R250" s="1">
        <v>0</v>
      </c>
      <c r="S250" s="13">
        <f t="shared" si="43"/>
        <v>109429.2</v>
      </c>
      <c r="T250" s="79">
        <v>2020</v>
      </c>
      <c r="U250" s="79">
        <v>2020</v>
      </c>
    </row>
    <row r="251" spans="1:21" ht="15.75">
      <c r="A251" s="79">
        <f t="shared" si="42"/>
        <v>220</v>
      </c>
      <c r="B251" s="255" t="s">
        <v>268</v>
      </c>
      <c r="C251" s="95" t="s">
        <v>269</v>
      </c>
      <c r="D251" s="95"/>
      <c r="E251" s="95"/>
      <c r="F251" s="32">
        <v>6453.3</v>
      </c>
      <c r="G251" s="90">
        <v>5933.1</v>
      </c>
      <c r="H251" s="1">
        <f t="shared" si="41"/>
        <v>12648930</v>
      </c>
      <c r="I251" s="1">
        <v>0</v>
      </c>
      <c r="J251" s="1">
        <v>0</v>
      </c>
      <c r="K251" s="1">
        <v>0</v>
      </c>
      <c r="L251" s="1">
        <v>0</v>
      </c>
      <c r="M251" s="1">
        <v>12648930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3">
        <f t="shared" si="43"/>
        <v>12648930</v>
      </c>
      <c r="T251" s="79">
        <v>2020</v>
      </c>
      <c r="U251" s="79">
        <v>2020</v>
      </c>
    </row>
    <row r="252" spans="1:21" ht="15.75">
      <c r="A252" s="79">
        <f t="shared" si="42"/>
        <v>221</v>
      </c>
      <c r="B252" s="255" t="s">
        <v>270</v>
      </c>
      <c r="C252" s="95">
        <v>1974</v>
      </c>
      <c r="D252" s="95"/>
      <c r="E252" s="95"/>
      <c r="F252" s="32">
        <v>3321</v>
      </c>
      <c r="G252" s="90">
        <v>3000.7</v>
      </c>
      <c r="H252" s="1">
        <f t="shared" si="41"/>
        <v>3288600</v>
      </c>
      <c r="I252" s="1">
        <v>0</v>
      </c>
      <c r="J252" s="1">
        <v>0</v>
      </c>
      <c r="K252" s="1">
        <v>3288600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3">
        <f t="shared" si="43"/>
        <v>3288600</v>
      </c>
      <c r="T252" s="79">
        <v>2020</v>
      </c>
      <c r="U252" s="79">
        <v>2020</v>
      </c>
    </row>
    <row r="253" spans="1:21" ht="15.75">
      <c r="A253" s="79">
        <f t="shared" si="42"/>
        <v>222</v>
      </c>
      <c r="B253" s="255" t="s">
        <v>271</v>
      </c>
      <c r="C253" s="95">
        <v>1981</v>
      </c>
      <c r="D253" s="95"/>
      <c r="E253" s="95"/>
      <c r="F253" s="32">
        <v>2575.9</v>
      </c>
      <c r="G253" s="90">
        <v>2464.6999999999998</v>
      </c>
      <c r="H253" s="1">
        <f t="shared" si="41"/>
        <v>2630880</v>
      </c>
      <c r="I253" s="1">
        <v>0</v>
      </c>
      <c r="J253" s="1">
        <v>0</v>
      </c>
      <c r="K253" s="1">
        <v>2630880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3">
        <f t="shared" si="43"/>
        <v>2630880</v>
      </c>
      <c r="T253" s="79">
        <v>2020</v>
      </c>
      <c r="U253" s="79">
        <v>2020</v>
      </c>
    </row>
    <row r="254" spans="1:21" ht="15.75">
      <c r="A254" s="79">
        <f t="shared" si="42"/>
        <v>223</v>
      </c>
      <c r="B254" s="255" t="s">
        <v>272</v>
      </c>
      <c r="C254" s="95">
        <v>1986</v>
      </c>
      <c r="D254" s="95"/>
      <c r="E254" s="95"/>
      <c r="F254" s="32">
        <v>2338.3000000000002</v>
      </c>
      <c r="G254" s="90">
        <v>2047.6</v>
      </c>
      <c r="H254" s="1">
        <f t="shared" si="41"/>
        <v>1587117.94</v>
      </c>
      <c r="I254" s="1">
        <v>1587117.94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3">
        <f t="shared" si="43"/>
        <v>1587117.94</v>
      </c>
      <c r="T254" s="79">
        <v>2020</v>
      </c>
      <c r="U254" s="79">
        <v>2020</v>
      </c>
    </row>
    <row r="255" spans="1:21" ht="15.75">
      <c r="A255" s="79">
        <f t="shared" si="42"/>
        <v>224</v>
      </c>
      <c r="B255" s="255" t="s">
        <v>273</v>
      </c>
      <c r="C255" s="95">
        <v>1966</v>
      </c>
      <c r="D255" s="95"/>
      <c r="E255" s="95"/>
      <c r="F255" s="32">
        <v>3917</v>
      </c>
      <c r="G255" s="90">
        <v>3654.7</v>
      </c>
      <c r="H255" s="1">
        <v>8023575</v>
      </c>
      <c r="I255" s="1">
        <v>0</v>
      </c>
      <c r="J255" s="1">
        <v>0</v>
      </c>
      <c r="K255" s="1">
        <v>8023575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3">
        <f t="shared" si="43"/>
        <v>8023575</v>
      </c>
      <c r="T255" s="79">
        <v>2020</v>
      </c>
      <c r="U255" s="79">
        <v>2020</v>
      </c>
    </row>
    <row r="256" spans="1:21" ht="15.75">
      <c r="A256" s="79">
        <f t="shared" si="42"/>
        <v>225</v>
      </c>
      <c r="B256" s="255" t="s">
        <v>274</v>
      </c>
      <c r="C256" s="95">
        <v>1964</v>
      </c>
      <c r="D256" s="95"/>
      <c r="E256" s="95"/>
      <c r="F256" s="32">
        <v>2028.5</v>
      </c>
      <c r="G256" s="90">
        <v>1903.9</v>
      </c>
      <c r="H256" s="1">
        <f>I256+J256+K256+L256+M256+N256+O256</f>
        <v>1407117.94</v>
      </c>
      <c r="I256" s="1">
        <v>1407117.94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3">
        <f t="shared" si="43"/>
        <v>1407117.94</v>
      </c>
      <c r="T256" s="79">
        <v>2020</v>
      </c>
      <c r="U256" s="79">
        <v>2020</v>
      </c>
    </row>
    <row r="257" spans="1:21" ht="15.75">
      <c r="A257" s="79">
        <f t="shared" si="42"/>
        <v>226</v>
      </c>
      <c r="B257" s="255" t="s">
        <v>275</v>
      </c>
      <c r="C257" s="95">
        <v>1972</v>
      </c>
      <c r="D257" s="95"/>
      <c r="E257" s="95"/>
      <c r="F257" s="32">
        <v>3473.7</v>
      </c>
      <c r="G257" s="90">
        <v>3146.7</v>
      </c>
      <c r="H257" s="1">
        <f>I257+J257+K257+L257+M257+N257+O257</f>
        <v>1829117.94</v>
      </c>
      <c r="I257" s="1">
        <v>1829117.94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3">
        <f t="shared" si="43"/>
        <v>1829117.94</v>
      </c>
      <c r="T257" s="79">
        <v>2020</v>
      </c>
      <c r="U257" s="79">
        <v>2020</v>
      </c>
    </row>
    <row r="258" spans="1:21" ht="15.75">
      <c r="A258" s="79">
        <f t="shared" si="42"/>
        <v>227</v>
      </c>
      <c r="B258" s="255" t="s">
        <v>276</v>
      </c>
      <c r="C258" s="95">
        <v>1992</v>
      </c>
      <c r="D258" s="95"/>
      <c r="E258" s="95"/>
      <c r="F258" s="32">
        <v>5271.8</v>
      </c>
      <c r="G258" s="90">
        <v>4476.8</v>
      </c>
      <c r="H258" s="1">
        <f>I258+J258+K258+L258+M258+N258+O258</f>
        <v>1542117.94</v>
      </c>
      <c r="I258" s="1">
        <v>1542117.94</v>
      </c>
      <c r="J258" s="1">
        <v>0</v>
      </c>
      <c r="K258" s="1">
        <v>0</v>
      </c>
      <c r="L258" s="1">
        <v>0</v>
      </c>
      <c r="M258" s="1"/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3">
        <f t="shared" si="43"/>
        <v>1542117.94</v>
      </c>
      <c r="T258" s="79">
        <v>2020</v>
      </c>
      <c r="U258" s="79">
        <v>2020</v>
      </c>
    </row>
    <row r="259" spans="1:21" ht="15.75">
      <c r="A259" s="79">
        <f t="shared" si="42"/>
        <v>228</v>
      </c>
      <c r="B259" s="255" t="s">
        <v>277</v>
      </c>
      <c r="C259" s="95">
        <v>1994</v>
      </c>
      <c r="D259" s="95"/>
      <c r="E259" s="95"/>
      <c r="F259" s="32">
        <v>5259.7</v>
      </c>
      <c r="G259" s="90">
        <v>4477.3999999999996</v>
      </c>
      <c r="H259" s="1">
        <f>I259+J259+K259+L259+M259+N259+O259</f>
        <v>1542117.94</v>
      </c>
      <c r="I259" s="1">
        <v>1542117.94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3">
        <f t="shared" si="43"/>
        <v>1542117.94</v>
      </c>
      <c r="T259" s="79">
        <v>2020</v>
      </c>
      <c r="U259" s="79">
        <v>2020</v>
      </c>
    </row>
    <row r="260" spans="1:21" ht="15.75">
      <c r="A260" s="79">
        <f t="shared" si="42"/>
        <v>229</v>
      </c>
      <c r="B260" s="255" t="s">
        <v>278</v>
      </c>
      <c r="C260" s="95">
        <v>1981</v>
      </c>
      <c r="D260" s="95"/>
      <c r="E260" s="95"/>
      <c r="F260" s="32">
        <v>2377.6</v>
      </c>
      <c r="G260" s="90">
        <v>2085.9</v>
      </c>
      <c r="H260" s="1">
        <f>I260+J260+K260+L260+M260+N260+O260</f>
        <v>1587517.94</v>
      </c>
      <c r="I260" s="1">
        <v>1587517.94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3">
        <f t="shared" si="43"/>
        <v>1587517.94</v>
      </c>
      <c r="T260" s="79">
        <v>2020</v>
      </c>
      <c r="U260" s="79">
        <v>2020</v>
      </c>
    </row>
    <row r="261" spans="1:21" ht="15.75">
      <c r="A261" s="290" t="s">
        <v>40</v>
      </c>
      <c r="B261" s="290"/>
      <c r="C261" s="93"/>
      <c r="D261" s="94"/>
      <c r="E261" s="94"/>
      <c r="F261" s="121">
        <f t="shared" ref="F261:P261" si="44">SUM(F243:F260)</f>
        <v>81745.7</v>
      </c>
      <c r="G261" s="27">
        <f t="shared" si="44"/>
        <v>70689.399999999994</v>
      </c>
      <c r="H261" s="121">
        <f t="shared" si="44"/>
        <v>63455656.030000001</v>
      </c>
      <c r="I261" s="121">
        <f t="shared" si="44"/>
        <v>14816375.640000001</v>
      </c>
      <c r="J261" s="121">
        <f t="shared" si="44"/>
        <v>2918085.34</v>
      </c>
      <c r="K261" s="121">
        <f t="shared" si="44"/>
        <v>30458135</v>
      </c>
      <c r="L261" s="121">
        <f t="shared" si="44"/>
        <v>0</v>
      </c>
      <c r="M261" s="121">
        <f t="shared" si="44"/>
        <v>15153630.85</v>
      </c>
      <c r="N261" s="121">
        <f t="shared" si="44"/>
        <v>0</v>
      </c>
      <c r="O261" s="121">
        <f t="shared" si="44"/>
        <v>109429.2</v>
      </c>
      <c r="P261" s="121">
        <f t="shared" si="44"/>
        <v>0</v>
      </c>
      <c r="Q261" s="121">
        <f>SUM(Q244:Q260)</f>
        <v>0</v>
      </c>
      <c r="R261" s="121">
        <f>SUM(R243:R260)</f>
        <v>0</v>
      </c>
      <c r="S261" s="121">
        <f>SUM(S243:S260)</f>
        <v>63455656.030000001</v>
      </c>
      <c r="T261" s="16" t="s">
        <v>31</v>
      </c>
      <c r="U261" s="16" t="s">
        <v>31</v>
      </c>
    </row>
    <row r="262" spans="1:21" ht="15.75">
      <c r="A262" s="289" t="s">
        <v>279</v>
      </c>
      <c r="B262" s="289"/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289"/>
      <c r="S262" s="289"/>
      <c r="T262" s="289"/>
      <c r="U262" s="289"/>
    </row>
    <row r="263" spans="1:21" ht="15.75">
      <c r="A263" s="79">
        <f>A260+1</f>
        <v>230</v>
      </c>
      <c r="B263" s="254" t="s">
        <v>280</v>
      </c>
      <c r="C263" s="81">
        <v>1990</v>
      </c>
      <c r="D263" s="79"/>
      <c r="E263" s="79"/>
      <c r="F263" s="92">
        <v>6675.7</v>
      </c>
      <c r="G263" s="92">
        <v>5761.9</v>
      </c>
      <c r="H263" s="1">
        <f>I263+J263+K263+L263+M263+N263+O263</f>
        <v>3311145.5</v>
      </c>
      <c r="I263" s="1">
        <v>0</v>
      </c>
      <c r="J263" s="1">
        <f>ROUND(3037801.66*1.015,2)</f>
        <v>3083368.68</v>
      </c>
      <c r="K263" s="1">
        <v>0</v>
      </c>
      <c r="L263" s="1">
        <v>0</v>
      </c>
      <c r="M263" s="1">
        <v>0</v>
      </c>
      <c r="N263" s="1">
        <v>0</v>
      </c>
      <c r="O263" s="91">
        <f>75945.04+151831.78</f>
        <v>227776.82</v>
      </c>
      <c r="P263" s="1">
        <v>0</v>
      </c>
      <c r="Q263" s="1">
        <v>0</v>
      </c>
      <c r="R263" s="1">
        <v>0</v>
      </c>
      <c r="S263" s="13">
        <f>H263</f>
        <v>3311145.5</v>
      </c>
      <c r="T263" s="79">
        <v>2020</v>
      </c>
      <c r="U263" s="79">
        <v>2020</v>
      </c>
    </row>
    <row r="264" spans="1:21" ht="15.75">
      <c r="A264" s="79">
        <f>A263+1</f>
        <v>231</v>
      </c>
      <c r="B264" s="254" t="s">
        <v>281</v>
      </c>
      <c r="C264" s="81">
        <v>1992</v>
      </c>
      <c r="D264" s="79"/>
      <c r="E264" s="79"/>
      <c r="F264" s="92">
        <v>2182.8000000000002</v>
      </c>
      <c r="G264" s="92">
        <v>1836.6</v>
      </c>
      <c r="H264" s="1">
        <f>I264+J264+K264+L264+M264+N264+O264</f>
        <v>3311145.5</v>
      </c>
      <c r="I264" s="1">
        <v>0</v>
      </c>
      <c r="J264" s="1">
        <f>ROUND(3037801.66*1.015,2)</f>
        <v>3083368.68</v>
      </c>
      <c r="K264" s="1">
        <v>0</v>
      </c>
      <c r="L264" s="1">
        <v>0</v>
      </c>
      <c r="M264" s="1">
        <v>0</v>
      </c>
      <c r="N264" s="1">
        <v>0</v>
      </c>
      <c r="O264" s="91">
        <f>75945.04+151831.78</f>
        <v>227776.82</v>
      </c>
      <c r="P264" s="1">
        <v>0</v>
      </c>
      <c r="Q264" s="1">
        <v>0</v>
      </c>
      <c r="R264" s="1">
        <v>0</v>
      </c>
      <c r="S264" s="13">
        <f>H264</f>
        <v>3311145.5</v>
      </c>
      <c r="T264" s="79">
        <v>2020</v>
      </c>
      <c r="U264" s="79">
        <v>2020</v>
      </c>
    </row>
    <row r="265" spans="1:21" ht="15.75">
      <c r="A265" s="79">
        <f>A264+1</f>
        <v>232</v>
      </c>
      <c r="B265" s="254" t="s">
        <v>282</v>
      </c>
      <c r="C265" s="81">
        <v>1976</v>
      </c>
      <c r="D265" s="79"/>
      <c r="E265" s="79"/>
      <c r="F265" s="92">
        <v>3060.4</v>
      </c>
      <c r="G265" s="92">
        <v>2743.7</v>
      </c>
      <c r="H265" s="1">
        <f>I265+J265+K265+L265+M265+N265+O265</f>
        <v>7349922.7699999996</v>
      </c>
      <c r="I265" s="1">
        <v>0</v>
      </c>
      <c r="J265" s="1">
        <v>0</v>
      </c>
      <c r="K265" s="1">
        <f>ROUND(2604.66*G265*1.015,2)</f>
        <v>7253601.7300000004</v>
      </c>
      <c r="L265" s="1">
        <v>0</v>
      </c>
      <c r="M265" s="1">
        <v>0</v>
      </c>
      <c r="N265" s="1">
        <v>0</v>
      </c>
      <c r="O265" s="91">
        <v>96321.04</v>
      </c>
      <c r="P265" s="1">
        <v>0</v>
      </c>
      <c r="Q265" s="1">
        <v>0</v>
      </c>
      <c r="R265" s="1">
        <v>0</v>
      </c>
      <c r="S265" s="13">
        <f>H265</f>
        <v>7349922.7699999996</v>
      </c>
      <c r="T265" s="79">
        <v>2020</v>
      </c>
      <c r="U265" s="79">
        <v>2020</v>
      </c>
    </row>
    <row r="266" spans="1:21" ht="15.75">
      <c r="A266" s="290" t="s">
        <v>40</v>
      </c>
      <c r="B266" s="290"/>
      <c r="C266" s="93"/>
      <c r="D266" s="94"/>
      <c r="E266" s="94"/>
      <c r="F266" s="14">
        <f t="shared" ref="F266:S266" si="45">SUM(F263:F265)</f>
        <v>11918.9</v>
      </c>
      <c r="G266" s="27">
        <f t="shared" si="45"/>
        <v>10342.200000000001</v>
      </c>
      <c r="H266" s="15">
        <f t="shared" si="45"/>
        <v>13972213.77</v>
      </c>
      <c r="I266" s="15">
        <f t="shared" si="45"/>
        <v>0</v>
      </c>
      <c r="J266" s="15">
        <f t="shared" si="45"/>
        <v>6166737.3600000003</v>
      </c>
      <c r="K266" s="15">
        <f t="shared" si="45"/>
        <v>7253601.7300000004</v>
      </c>
      <c r="L266" s="15">
        <f t="shared" si="45"/>
        <v>0</v>
      </c>
      <c r="M266" s="15">
        <f t="shared" si="45"/>
        <v>0</v>
      </c>
      <c r="N266" s="15">
        <f t="shared" si="45"/>
        <v>0</v>
      </c>
      <c r="O266" s="15">
        <f t="shared" si="45"/>
        <v>551874.68000000005</v>
      </c>
      <c r="P266" s="15">
        <f t="shared" si="45"/>
        <v>0</v>
      </c>
      <c r="Q266" s="15">
        <f t="shared" si="45"/>
        <v>0</v>
      </c>
      <c r="R266" s="15">
        <f t="shared" si="45"/>
        <v>0</v>
      </c>
      <c r="S266" s="15">
        <f t="shared" si="45"/>
        <v>13972213.77</v>
      </c>
      <c r="T266" s="16" t="s">
        <v>31</v>
      </c>
      <c r="U266" s="16" t="s">
        <v>31</v>
      </c>
    </row>
    <row r="267" spans="1:21" ht="15.75">
      <c r="A267" s="289" t="s">
        <v>283</v>
      </c>
      <c r="B267" s="289"/>
      <c r="C267" s="289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</row>
    <row r="268" spans="1:21" ht="15.75">
      <c r="A268" s="79">
        <f>A265+1</f>
        <v>233</v>
      </c>
      <c r="B268" s="186" t="s">
        <v>284</v>
      </c>
      <c r="C268" s="95">
        <v>1985</v>
      </c>
      <c r="D268" s="79"/>
      <c r="E268" s="79"/>
      <c r="F268" s="90">
        <v>4069.4</v>
      </c>
      <c r="G268" s="90">
        <f>3253.5+417.1</f>
        <v>3670.6</v>
      </c>
      <c r="H268" s="1">
        <f t="shared" ref="H268:H283" si="46">I268+J268+K268+L268+M268+N268+O268</f>
        <v>6075603.3200000003</v>
      </c>
      <c r="I268" s="1">
        <v>0</v>
      </c>
      <c r="J268" s="1">
        <f>ROUND(2*3037801.66,2)-O268</f>
        <v>5923713.2400000002</v>
      </c>
      <c r="K268" s="1">
        <v>0</v>
      </c>
      <c r="L268" s="1">
        <v>0</v>
      </c>
      <c r="M268" s="1">
        <v>0</v>
      </c>
      <c r="N268" s="1">
        <v>0</v>
      </c>
      <c r="O268" s="1">
        <v>151890.07999999999</v>
      </c>
      <c r="P268" s="1">
        <v>0</v>
      </c>
      <c r="Q268" s="1">
        <v>0</v>
      </c>
      <c r="R268" s="1">
        <v>0</v>
      </c>
      <c r="S268" s="13">
        <f t="shared" ref="S268:S283" si="47">H268</f>
        <v>6075603.3200000003</v>
      </c>
      <c r="T268" s="79">
        <v>2020</v>
      </c>
      <c r="U268" s="79">
        <v>2020</v>
      </c>
    </row>
    <row r="269" spans="1:21" ht="15.75">
      <c r="A269" s="79">
        <f t="shared" ref="A269:A283" si="48">A268+1</f>
        <v>234</v>
      </c>
      <c r="B269" s="186" t="s">
        <v>285</v>
      </c>
      <c r="C269" s="81">
        <v>1985</v>
      </c>
      <c r="D269" s="79"/>
      <c r="E269" s="79"/>
      <c r="F269" s="92">
        <v>3113.8</v>
      </c>
      <c r="G269" s="33">
        <f>2390.5+260.1</f>
        <v>2650.6</v>
      </c>
      <c r="H269" s="1">
        <f t="shared" si="46"/>
        <v>3037801.66</v>
      </c>
      <c r="I269" s="1">
        <v>0</v>
      </c>
      <c r="J269" s="1">
        <f>ROUND(1*3037801.66,2)-O269</f>
        <v>2961856.62</v>
      </c>
      <c r="K269" s="1">
        <v>0</v>
      </c>
      <c r="L269" s="1">
        <v>0</v>
      </c>
      <c r="M269" s="1">
        <v>0</v>
      </c>
      <c r="N269" s="1">
        <v>0</v>
      </c>
      <c r="O269" s="1">
        <v>75945.039999999994</v>
      </c>
      <c r="P269" s="1">
        <v>0</v>
      </c>
      <c r="Q269" s="1">
        <v>0</v>
      </c>
      <c r="R269" s="1">
        <v>0</v>
      </c>
      <c r="S269" s="13">
        <f t="shared" si="47"/>
        <v>3037801.66</v>
      </c>
      <c r="T269" s="79">
        <v>2020</v>
      </c>
      <c r="U269" s="79">
        <v>2020</v>
      </c>
    </row>
    <row r="270" spans="1:21" ht="15.75">
      <c r="A270" s="79">
        <f t="shared" si="48"/>
        <v>235</v>
      </c>
      <c r="B270" s="186" t="s">
        <v>286</v>
      </c>
      <c r="C270" s="81">
        <v>1991</v>
      </c>
      <c r="D270" s="79"/>
      <c r="E270" s="79"/>
      <c r="F270" s="92">
        <v>4322.6000000000004</v>
      </c>
      <c r="G270" s="33">
        <v>3623.5</v>
      </c>
      <c r="H270" s="1">
        <f t="shared" si="46"/>
        <v>3125457.43</v>
      </c>
      <c r="I270" s="1">
        <f>ROUND(((229.94+304.67)*G270+947117.94)*1.015,2)</f>
        <v>2927541.43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197916</v>
      </c>
      <c r="P270" s="1">
        <v>0</v>
      </c>
      <c r="Q270" s="1">
        <v>0</v>
      </c>
      <c r="R270" s="1">
        <v>0</v>
      </c>
      <c r="S270" s="13">
        <f t="shared" si="47"/>
        <v>3125457.43</v>
      </c>
      <c r="T270" s="79">
        <v>2020</v>
      </c>
      <c r="U270" s="79">
        <v>2020</v>
      </c>
    </row>
    <row r="271" spans="1:21" ht="15.75">
      <c r="A271" s="79">
        <f t="shared" si="48"/>
        <v>236</v>
      </c>
      <c r="B271" s="186" t="s">
        <v>287</v>
      </c>
      <c r="C271" s="81">
        <v>1991</v>
      </c>
      <c r="D271" s="79"/>
      <c r="E271" s="79"/>
      <c r="F271" s="33">
        <v>4383.1000000000004</v>
      </c>
      <c r="G271" s="33">
        <v>3749.1</v>
      </c>
      <c r="H271" s="1">
        <f t="shared" si="46"/>
        <v>3194756.46</v>
      </c>
      <c r="I271" s="1">
        <f>ROUND(((229.94+304.67)*G271+947117.94)*1.015,2)</f>
        <v>2995695.66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199060.8</v>
      </c>
      <c r="P271" s="1">
        <v>0</v>
      </c>
      <c r="Q271" s="1">
        <v>0</v>
      </c>
      <c r="R271" s="1">
        <v>0</v>
      </c>
      <c r="S271" s="13">
        <f t="shared" si="47"/>
        <v>3194756.46</v>
      </c>
      <c r="T271" s="79">
        <v>2020</v>
      </c>
      <c r="U271" s="79">
        <v>2020</v>
      </c>
    </row>
    <row r="272" spans="1:21" ht="15.75">
      <c r="A272" s="79">
        <f t="shared" si="48"/>
        <v>237</v>
      </c>
      <c r="B272" s="186" t="s">
        <v>288</v>
      </c>
      <c r="C272" s="81">
        <v>1983</v>
      </c>
      <c r="D272" s="79"/>
      <c r="E272" s="79"/>
      <c r="F272" s="33">
        <v>3977</v>
      </c>
      <c r="G272" s="33">
        <v>3464.7</v>
      </c>
      <c r="H272" s="1">
        <f t="shared" si="46"/>
        <v>2051705.97</v>
      </c>
      <c r="I272" s="1">
        <f>ROUND((293.24*G272+947117.94)*1.015,2)</f>
        <v>1992553.17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59152.800000000003</v>
      </c>
      <c r="P272" s="1">
        <v>0</v>
      </c>
      <c r="Q272" s="1">
        <v>0</v>
      </c>
      <c r="R272" s="1">
        <v>0</v>
      </c>
      <c r="S272" s="13">
        <f t="shared" si="47"/>
        <v>2051705.97</v>
      </c>
      <c r="T272" s="79">
        <v>2020</v>
      </c>
      <c r="U272" s="79">
        <v>2020</v>
      </c>
    </row>
    <row r="273" spans="1:21" ht="15.75">
      <c r="A273" s="79">
        <f t="shared" si="48"/>
        <v>238</v>
      </c>
      <c r="B273" s="186" t="s">
        <v>289</v>
      </c>
      <c r="C273" s="81">
        <v>1991</v>
      </c>
      <c r="D273" s="79"/>
      <c r="E273" s="79"/>
      <c r="F273" s="33">
        <v>4383.1000000000004</v>
      </c>
      <c r="G273" s="33">
        <v>3749.1</v>
      </c>
      <c r="H273" s="1">
        <f t="shared" si="46"/>
        <v>2136854.7799999998</v>
      </c>
      <c r="I273" s="1">
        <f>ROUND((293.24*G273+947117.94)*1.015,2)</f>
        <v>2077201.58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59653.2</v>
      </c>
      <c r="P273" s="1">
        <v>0</v>
      </c>
      <c r="Q273" s="1">
        <v>0</v>
      </c>
      <c r="R273" s="1">
        <v>0</v>
      </c>
      <c r="S273" s="13">
        <f t="shared" si="47"/>
        <v>2136854.7799999998</v>
      </c>
      <c r="T273" s="79">
        <v>2020</v>
      </c>
      <c r="U273" s="79">
        <v>2020</v>
      </c>
    </row>
    <row r="274" spans="1:21" ht="15.75">
      <c r="A274" s="79">
        <f t="shared" si="48"/>
        <v>239</v>
      </c>
      <c r="B274" s="186" t="s">
        <v>290</v>
      </c>
      <c r="C274" s="81">
        <v>1956</v>
      </c>
      <c r="D274" s="79"/>
      <c r="E274" s="79"/>
      <c r="F274" s="33">
        <v>5312.5</v>
      </c>
      <c r="G274" s="33">
        <f>4247.2+608.6</f>
        <v>4855.8</v>
      </c>
      <c r="H274" s="1">
        <f t="shared" si="46"/>
        <v>13713272.359999999</v>
      </c>
      <c r="I274" s="1">
        <v>0</v>
      </c>
      <c r="J274" s="1">
        <v>0</v>
      </c>
      <c r="K274" s="1">
        <f>ROUND(2757.62*G274*1.015,2)</f>
        <v>13591307.960000001</v>
      </c>
      <c r="L274" s="1">
        <v>0</v>
      </c>
      <c r="M274" s="1">
        <v>0</v>
      </c>
      <c r="N274" s="1">
        <v>0</v>
      </c>
      <c r="O274" s="1">
        <v>121964.4</v>
      </c>
      <c r="P274" s="1">
        <v>0</v>
      </c>
      <c r="Q274" s="1">
        <v>0</v>
      </c>
      <c r="R274" s="1">
        <v>0</v>
      </c>
      <c r="S274" s="13">
        <f t="shared" si="47"/>
        <v>13713272.359999999</v>
      </c>
      <c r="T274" s="79">
        <v>2020</v>
      </c>
      <c r="U274" s="79">
        <v>2021</v>
      </c>
    </row>
    <row r="275" spans="1:21" ht="15.75">
      <c r="A275" s="79">
        <f t="shared" si="48"/>
        <v>240</v>
      </c>
      <c r="B275" s="186" t="s">
        <v>291</v>
      </c>
      <c r="C275" s="81">
        <v>1956</v>
      </c>
      <c r="D275" s="79"/>
      <c r="E275" s="79"/>
      <c r="F275" s="33">
        <v>1856.4</v>
      </c>
      <c r="G275" s="33">
        <f>1247.3+444.9</f>
        <v>1692.2</v>
      </c>
      <c r="H275" s="1">
        <f t="shared" si="46"/>
        <v>7071017.6200000001</v>
      </c>
      <c r="I275" s="1">
        <v>0</v>
      </c>
      <c r="J275" s="1">
        <v>0</v>
      </c>
      <c r="K275" s="1">
        <f>ROUND(4075.29*G275*1.015,2)</f>
        <v>6999648.8200000003</v>
      </c>
      <c r="L275" s="1">
        <v>0</v>
      </c>
      <c r="M275" s="1">
        <v>0</v>
      </c>
      <c r="N275" s="1">
        <v>0</v>
      </c>
      <c r="O275" s="1">
        <v>71368.800000000003</v>
      </c>
      <c r="P275" s="1">
        <v>0</v>
      </c>
      <c r="Q275" s="1">
        <v>0</v>
      </c>
      <c r="R275" s="1">
        <v>0</v>
      </c>
      <c r="S275" s="13">
        <f t="shared" si="47"/>
        <v>7071017.6200000001</v>
      </c>
      <c r="T275" s="79">
        <v>2020</v>
      </c>
      <c r="U275" s="79">
        <v>2020</v>
      </c>
    </row>
    <row r="276" spans="1:21" ht="15.75">
      <c r="A276" s="79">
        <f t="shared" si="48"/>
        <v>241</v>
      </c>
      <c r="B276" s="186" t="s">
        <v>292</v>
      </c>
      <c r="C276" s="81">
        <v>1957</v>
      </c>
      <c r="D276" s="79"/>
      <c r="E276" s="79"/>
      <c r="F276" s="33">
        <v>5593.1</v>
      </c>
      <c r="G276" s="33">
        <f>4584.5+631</f>
        <v>5215.5</v>
      </c>
      <c r="H276" s="1">
        <f t="shared" si="46"/>
        <v>14722855.82</v>
      </c>
      <c r="I276" s="1">
        <v>0</v>
      </c>
      <c r="J276" s="1">
        <v>0</v>
      </c>
      <c r="K276" s="1">
        <f>ROUND(2757.62*G276*1.015,2)</f>
        <v>14598102.619999999</v>
      </c>
      <c r="L276" s="1">
        <v>0</v>
      </c>
      <c r="M276" s="1">
        <v>0</v>
      </c>
      <c r="N276" s="1">
        <v>0</v>
      </c>
      <c r="O276" s="1">
        <v>124753.2</v>
      </c>
      <c r="P276" s="1">
        <v>0</v>
      </c>
      <c r="Q276" s="1">
        <v>0</v>
      </c>
      <c r="R276" s="1">
        <v>0</v>
      </c>
      <c r="S276" s="13">
        <f t="shared" si="47"/>
        <v>14722855.82</v>
      </c>
      <c r="T276" s="79">
        <v>2020</v>
      </c>
      <c r="U276" s="79">
        <v>2021</v>
      </c>
    </row>
    <row r="277" spans="1:21" ht="15.75">
      <c r="A277" s="79">
        <f t="shared" si="48"/>
        <v>242</v>
      </c>
      <c r="B277" s="186" t="s">
        <v>293</v>
      </c>
      <c r="C277" s="81">
        <v>1987</v>
      </c>
      <c r="D277" s="79"/>
      <c r="E277" s="79"/>
      <c r="F277" s="33">
        <v>10150.9</v>
      </c>
      <c r="G277" s="33">
        <f>8146+626.9</f>
        <v>8772.9</v>
      </c>
      <c r="H277" s="1">
        <f t="shared" si="46"/>
        <v>5960101.1799999997</v>
      </c>
      <c r="I277" s="1">
        <f>ROUND(((229.94+304.67)*G277+947117.94)*1.015,2)</f>
        <v>5721755.9800000004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238345.2</v>
      </c>
      <c r="P277" s="1">
        <v>0</v>
      </c>
      <c r="Q277" s="1">
        <v>0</v>
      </c>
      <c r="R277" s="1">
        <v>0</v>
      </c>
      <c r="S277" s="13">
        <f t="shared" si="47"/>
        <v>5960101.1799999997</v>
      </c>
      <c r="T277" s="79">
        <v>2020</v>
      </c>
      <c r="U277" s="79">
        <v>2020</v>
      </c>
    </row>
    <row r="278" spans="1:21" ht="15.75">
      <c r="A278" s="79">
        <f t="shared" si="48"/>
        <v>243</v>
      </c>
      <c r="B278" s="186" t="s">
        <v>294</v>
      </c>
      <c r="C278" s="105">
        <v>1939</v>
      </c>
      <c r="D278" s="79"/>
      <c r="E278" s="79"/>
      <c r="F278" s="12">
        <v>1868.6</v>
      </c>
      <c r="G278" s="12">
        <v>1679.4</v>
      </c>
      <c r="H278" s="1">
        <f t="shared" si="46"/>
        <v>7599953.0599999996</v>
      </c>
      <c r="I278" s="108">
        <v>1050454.2</v>
      </c>
      <c r="J278" s="1">
        <v>0</v>
      </c>
      <c r="K278" s="1">
        <v>0</v>
      </c>
      <c r="L278" s="108"/>
      <c r="M278" s="108">
        <f>ROUND(G278*3842.27*1.015,2)</f>
        <v>6549498.8600000003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f t="shared" si="47"/>
        <v>7599953.0599999996</v>
      </c>
      <c r="T278" s="79">
        <v>2020</v>
      </c>
      <c r="U278" s="79">
        <v>2022</v>
      </c>
    </row>
    <row r="279" spans="1:21" ht="15.75">
      <c r="A279" s="79">
        <f t="shared" si="48"/>
        <v>244</v>
      </c>
      <c r="B279" s="186" t="s">
        <v>295</v>
      </c>
      <c r="C279" s="105">
        <v>1940</v>
      </c>
      <c r="D279" s="79"/>
      <c r="E279" s="79"/>
      <c r="F279" s="12">
        <v>1763.3</v>
      </c>
      <c r="G279" s="12">
        <v>1579.6</v>
      </c>
      <c r="H279" s="1">
        <f t="shared" si="46"/>
        <v>7148318.3700000001</v>
      </c>
      <c r="I279" s="108">
        <v>988029.93</v>
      </c>
      <c r="J279" s="1">
        <v>0</v>
      </c>
      <c r="K279" s="1">
        <v>0</v>
      </c>
      <c r="L279" s="108"/>
      <c r="M279" s="108">
        <f>ROUND(G279*3842.27*1.015,2)</f>
        <v>6160288.4400000004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f t="shared" si="47"/>
        <v>7148318.3700000001</v>
      </c>
      <c r="T279" s="79">
        <v>2020</v>
      </c>
      <c r="U279" s="79">
        <v>2022</v>
      </c>
    </row>
    <row r="280" spans="1:21" ht="15.75">
      <c r="A280" s="79">
        <f t="shared" si="48"/>
        <v>245</v>
      </c>
      <c r="B280" s="186" t="s">
        <v>296</v>
      </c>
      <c r="C280" s="105">
        <v>1939</v>
      </c>
      <c r="D280" s="79"/>
      <c r="E280" s="79"/>
      <c r="F280" s="12">
        <v>2421</v>
      </c>
      <c r="G280" s="12">
        <v>2203.3000000000002</v>
      </c>
      <c r="H280" s="1">
        <f t="shared" si="46"/>
        <v>11670099.140000001</v>
      </c>
      <c r="I280" s="108">
        <v>1378150.38</v>
      </c>
      <c r="J280" s="1">
        <v>0</v>
      </c>
      <c r="K280" s="1">
        <v>0</v>
      </c>
      <c r="L280" s="108">
        <f>ROUND(G280*1954.25*1.015,2)</f>
        <v>4370386.01</v>
      </c>
      <c r="M280" s="108">
        <f>ROUND(G280*2647.87*1.015,2)</f>
        <v>5921562.75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f t="shared" si="47"/>
        <v>11670099.140000001</v>
      </c>
      <c r="T280" s="79">
        <v>2020</v>
      </c>
      <c r="U280" s="79">
        <v>2022</v>
      </c>
    </row>
    <row r="281" spans="1:21" ht="15.75">
      <c r="A281" s="79">
        <f t="shared" si="48"/>
        <v>246</v>
      </c>
      <c r="B281" s="186" t="s">
        <v>297</v>
      </c>
      <c r="C281" s="81">
        <v>1978</v>
      </c>
      <c r="D281" s="79"/>
      <c r="E281" s="79"/>
      <c r="F281" s="33">
        <v>5680.1</v>
      </c>
      <c r="G281" s="33">
        <f>4696+136.9</f>
        <v>4832.8999999999996</v>
      </c>
      <c r="H281" s="1">
        <f t="shared" si="46"/>
        <v>7071177.1500000004</v>
      </c>
      <c r="I281" s="1">
        <v>0</v>
      </c>
      <c r="J281" s="1">
        <v>0</v>
      </c>
      <c r="K281" s="1">
        <v>0</v>
      </c>
      <c r="L281" s="1">
        <v>0</v>
      </c>
      <c r="M281" s="1">
        <f>ROUND(1392.89*G281*1.015,2)</f>
        <v>6832673.5499999998</v>
      </c>
      <c r="N281" s="1">
        <v>0</v>
      </c>
      <c r="O281" s="1">
        <v>238503.6</v>
      </c>
      <c r="P281" s="1">
        <v>0</v>
      </c>
      <c r="Q281" s="1">
        <v>0</v>
      </c>
      <c r="R281" s="1">
        <v>0</v>
      </c>
      <c r="S281" s="13">
        <f t="shared" si="47"/>
        <v>7071177.1500000004</v>
      </c>
      <c r="T281" s="79">
        <v>2020</v>
      </c>
      <c r="U281" s="79">
        <v>2020</v>
      </c>
    </row>
    <row r="282" spans="1:21" ht="15.75">
      <c r="A282" s="79">
        <f t="shared" si="48"/>
        <v>247</v>
      </c>
      <c r="B282" s="186" t="s">
        <v>298</v>
      </c>
      <c r="C282" s="81">
        <v>1978</v>
      </c>
      <c r="D282" s="79"/>
      <c r="E282" s="79"/>
      <c r="F282" s="33">
        <v>7818.6</v>
      </c>
      <c r="G282" s="33">
        <v>6660.6</v>
      </c>
      <c r="H282" s="1">
        <f t="shared" si="46"/>
        <v>9721873.7799999993</v>
      </c>
      <c r="I282" s="1">
        <v>0</v>
      </c>
      <c r="J282" s="1">
        <v>0</v>
      </c>
      <c r="K282" s="1">
        <v>0</v>
      </c>
      <c r="L282" s="1">
        <v>0</v>
      </c>
      <c r="M282" s="1">
        <f>ROUND(1392.89*G282*1.015,2)</f>
        <v>9416645.3800000008</v>
      </c>
      <c r="N282" s="1">
        <v>0</v>
      </c>
      <c r="O282" s="1">
        <v>305228.40000000002</v>
      </c>
      <c r="P282" s="1">
        <v>0</v>
      </c>
      <c r="Q282" s="1">
        <v>0</v>
      </c>
      <c r="R282" s="1">
        <v>0</v>
      </c>
      <c r="S282" s="13">
        <f t="shared" si="47"/>
        <v>9721873.7799999993</v>
      </c>
      <c r="T282" s="79">
        <v>2020</v>
      </c>
      <c r="U282" s="79">
        <v>2021</v>
      </c>
    </row>
    <row r="283" spans="1:21" ht="15.75">
      <c r="A283" s="79">
        <f t="shared" si="48"/>
        <v>248</v>
      </c>
      <c r="B283" s="186" t="s">
        <v>299</v>
      </c>
      <c r="C283" s="81">
        <v>1974</v>
      </c>
      <c r="D283" s="79"/>
      <c r="E283" s="79"/>
      <c r="F283" s="33">
        <v>2219.6999999999998</v>
      </c>
      <c r="G283" s="33">
        <v>1911.4</v>
      </c>
      <c r="H283" s="1">
        <f t="shared" si="46"/>
        <v>1439867.42</v>
      </c>
      <c r="I283" s="1">
        <v>0</v>
      </c>
      <c r="J283" s="1">
        <v>0</v>
      </c>
      <c r="K283" s="1">
        <f>ROUND(670.73*G283*1.015,2)</f>
        <v>1301263.82</v>
      </c>
      <c r="L283" s="1">
        <v>0</v>
      </c>
      <c r="M283" s="1">
        <v>0</v>
      </c>
      <c r="N283" s="1">
        <v>0</v>
      </c>
      <c r="O283" s="1">
        <v>138603.6</v>
      </c>
      <c r="P283" s="1">
        <v>0</v>
      </c>
      <c r="Q283" s="1">
        <v>0</v>
      </c>
      <c r="R283" s="1">
        <v>0</v>
      </c>
      <c r="S283" s="13">
        <f t="shared" si="47"/>
        <v>1439867.42</v>
      </c>
      <c r="T283" s="79">
        <v>2020</v>
      </c>
      <c r="U283" s="79">
        <v>2020</v>
      </c>
    </row>
    <row r="284" spans="1:21" ht="15.75">
      <c r="A284" s="290" t="s">
        <v>40</v>
      </c>
      <c r="B284" s="290"/>
      <c r="C284" s="83"/>
      <c r="D284" s="116"/>
      <c r="E284" s="116"/>
      <c r="F284" s="14">
        <f t="shared" ref="F284:S284" si="49">SUM(F268:F283)</f>
        <v>68933.2</v>
      </c>
      <c r="G284" s="27">
        <f t="shared" si="49"/>
        <v>60311.199999999997</v>
      </c>
      <c r="H284" s="15">
        <f t="shared" si="49"/>
        <v>105740715.52</v>
      </c>
      <c r="I284" s="15">
        <f t="shared" si="49"/>
        <v>19131382.329999998</v>
      </c>
      <c r="J284" s="15">
        <f t="shared" si="49"/>
        <v>8885569.8599999994</v>
      </c>
      <c r="K284" s="15">
        <f t="shared" si="49"/>
        <v>36490323.219999999</v>
      </c>
      <c r="L284" s="15">
        <f t="shared" si="49"/>
        <v>4370386.01</v>
      </c>
      <c r="M284" s="15">
        <f t="shared" si="49"/>
        <v>34880668.979999997</v>
      </c>
      <c r="N284" s="15">
        <f t="shared" si="49"/>
        <v>0</v>
      </c>
      <c r="O284" s="15">
        <f t="shared" si="49"/>
        <v>1982385.12</v>
      </c>
      <c r="P284" s="15">
        <f t="shared" si="49"/>
        <v>0</v>
      </c>
      <c r="Q284" s="15">
        <f t="shared" si="49"/>
        <v>0</v>
      </c>
      <c r="R284" s="15">
        <f t="shared" si="49"/>
        <v>0</v>
      </c>
      <c r="S284" s="15">
        <f t="shared" si="49"/>
        <v>105740715.52</v>
      </c>
      <c r="T284" s="16" t="s">
        <v>31</v>
      </c>
      <c r="U284" s="16" t="s">
        <v>31</v>
      </c>
    </row>
    <row r="285" spans="1:21" ht="15.75">
      <c r="A285" s="289" t="s">
        <v>806</v>
      </c>
      <c r="B285" s="289"/>
      <c r="C285" s="289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</row>
    <row r="286" spans="1:21" ht="15.75">
      <c r="A286" s="79">
        <f>A283+1</f>
        <v>249</v>
      </c>
      <c r="B286" s="186" t="s">
        <v>300</v>
      </c>
      <c r="C286" s="81">
        <v>1961</v>
      </c>
      <c r="D286" s="113"/>
      <c r="E286" s="113"/>
      <c r="F286" s="92">
        <v>1362.5</v>
      </c>
      <c r="G286" s="92">
        <v>1268.5999999999999</v>
      </c>
      <c r="H286" s="1">
        <f>I286+J286+K286+L286+M286+N286+O286</f>
        <v>15490978.84</v>
      </c>
      <c r="I286" s="1">
        <v>0</v>
      </c>
      <c r="J286" s="1">
        <v>0</v>
      </c>
      <c r="K286" s="1">
        <f>ROUND(5781.6*G286*1.015,2)-0.01</f>
        <v>7444555.8200000003</v>
      </c>
      <c r="L286" s="1">
        <v>0</v>
      </c>
      <c r="M286" s="1">
        <f>ROUND(5198.01*G286*1.015,2)</f>
        <v>6693108.4199999999</v>
      </c>
      <c r="N286" s="1">
        <f>ROUND(812.52*G286*1.015,2)</f>
        <v>1046224.32</v>
      </c>
      <c r="O286" s="1">
        <f>62791.34+111809.72+132489.22</f>
        <v>307090.28000000003</v>
      </c>
      <c r="P286" s="1">
        <v>0</v>
      </c>
      <c r="Q286" s="1">
        <v>0</v>
      </c>
      <c r="R286" s="1">
        <v>0</v>
      </c>
      <c r="S286" s="13">
        <f>H286</f>
        <v>15490978.84</v>
      </c>
      <c r="T286" s="79">
        <v>2020</v>
      </c>
      <c r="U286" s="79">
        <v>2020</v>
      </c>
    </row>
    <row r="287" spans="1:21" ht="15.75">
      <c r="A287" s="79">
        <f>A286+1</f>
        <v>250</v>
      </c>
      <c r="B287" s="186" t="s">
        <v>301</v>
      </c>
      <c r="C287" s="81">
        <v>1963</v>
      </c>
      <c r="D287" s="113"/>
      <c r="E287" s="113"/>
      <c r="F287" s="92">
        <v>2699.6</v>
      </c>
      <c r="G287" s="92">
        <v>2002.5</v>
      </c>
      <c r="H287" s="1">
        <f>I287+J287+K287+L287+M287+N287+O287</f>
        <v>8361663.9100000001</v>
      </c>
      <c r="I287" s="1">
        <v>0</v>
      </c>
      <c r="J287" s="1">
        <v>0</v>
      </c>
      <c r="K287" s="1">
        <f>ROUND(4075.29*G287*1.015,2)</f>
        <v>8283179.75</v>
      </c>
      <c r="L287" s="1">
        <v>0</v>
      </c>
      <c r="M287" s="1">
        <v>0</v>
      </c>
      <c r="N287" s="1">
        <v>0</v>
      </c>
      <c r="O287" s="1">
        <f>78484.16</f>
        <v>78484.160000000003</v>
      </c>
      <c r="P287" s="1">
        <v>0</v>
      </c>
      <c r="Q287" s="1">
        <v>0</v>
      </c>
      <c r="R287" s="1">
        <v>0</v>
      </c>
      <c r="S287" s="13">
        <f>H287</f>
        <v>8361663.9100000001</v>
      </c>
      <c r="T287" s="79">
        <v>2020</v>
      </c>
      <c r="U287" s="79">
        <v>2020</v>
      </c>
    </row>
    <row r="288" spans="1:21" ht="15.75">
      <c r="A288" s="79">
        <f>A287+1</f>
        <v>251</v>
      </c>
      <c r="B288" s="186" t="s">
        <v>302</v>
      </c>
      <c r="C288" s="81">
        <v>1957</v>
      </c>
      <c r="D288" s="113"/>
      <c r="E288" s="113"/>
      <c r="F288" s="33">
        <v>691.2</v>
      </c>
      <c r="G288" s="33">
        <v>621.79999999999995</v>
      </c>
      <c r="H288" s="1">
        <f>I288+J288+K288+L288+M288+N288+O288</f>
        <v>6295447.1100000003</v>
      </c>
      <c r="I288" s="1">
        <v>0</v>
      </c>
      <c r="J288" s="1">
        <v>0</v>
      </c>
      <c r="K288" s="1">
        <v>0</v>
      </c>
      <c r="L288" s="1">
        <v>0</v>
      </c>
      <c r="M288" s="1">
        <f>ROUND(8767.69*G288*1.015,2)</f>
        <v>5533525.8899999997</v>
      </c>
      <c r="N288" s="1">
        <f>ROUND(999.27*G288*1.015,2)</f>
        <v>630666.28</v>
      </c>
      <c r="O288" s="1">
        <f>70949.86+60305.08</f>
        <v>131254.94</v>
      </c>
      <c r="P288" s="1">
        <v>0</v>
      </c>
      <c r="Q288" s="1">
        <v>0</v>
      </c>
      <c r="R288" s="1">
        <v>0</v>
      </c>
      <c r="S288" s="13">
        <f>H288</f>
        <v>6295447.1100000003</v>
      </c>
      <c r="T288" s="79">
        <v>2020</v>
      </c>
      <c r="U288" s="79">
        <v>2020</v>
      </c>
    </row>
    <row r="289" spans="1:21" ht="15.75">
      <c r="A289" s="79">
        <f>A288+1</f>
        <v>252</v>
      </c>
      <c r="B289" s="186" t="s">
        <v>303</v>
      </c>
      <c r="C289" s="81">
        <v>1993</v>
      </c>
      <c r="D289" s="113"/>
      <c r="E289" s="113"/>
      <c r="F289" s="122">
        <v>3457.8</v>
      </c>
      <c r="G289" s="122">
        <v>2961.5</v>
      </c>
      <c r="H289" s="1">
        <f>I289+J289+K289+L289+M289+N289+O289</f>
        <v>2969761.76</v>
      </c>
      <c r="I289" s="1">
        <v>0</v>
      </c>
      <c r="J289" s="1">
        <f>ROUND(2855540.15*1.015,2)</f>
        <v>2898373.25</v>
      </c>
      <c r="K289" s="1">
        <v>0</v>
      </c>
      <c r="L289" s="1">
        <v>0</v>
      </c>
      <c r="M289" s="1">
        <v>0</v>
      </c>
      <c r="N289" s="1">
        <v>0</v>
      </c>
      <c r="O289" s="1">
        <v>71388.509999999995</v>
      </c>
      <c r="P289" s="1">
        <v>0</v>
      </c>
      <c r="Q289" s="1">
        <v>0</v>
      </c>
      <c r="R289" s="1">
        <v>0</v>
      </c>
      <c r="S289" s="13">
        <f>H289</f>
        <v>2969761.76</v>
      </c>
      <c r="T289" s="79">
        <v>2020</v>
      </c>
      <c r="U289" s="79">
        <v>2020</v>
      </c>
    </row>
    <row r="290" spans="1:21" ht="15.75">
      <c r="A290" s="290" t="s">
        <v>40</v>
      </c>
      <c r="B290" s="290"/>
      <c r="C290" s="83"/>
      <c r="D290" s="116"/>
      <c r="E290" s="116"/>
      <c r="F290" s="14">
        <f t="shared" ref="F290:S290" si="50">SUM(F286:F289)</f>
        <v>8211.1</v>
      </c>
      <c r="G290" s="27">
        <f t="shared" si="50"/>
        <v>6854.4</v>
      </c>
      <c r="H290" s="27">
        <f t="shared" si="50"/>
        <v>33117851.620000001</v>
      </c>
      <c r="I290" s="15">
        <f t="shared" si="50"/>
        <v>0</v>
      </c>
      <c r="J290" s="15">
        <f t="shared" si="50"/>
        <v>2898373.25</v>
      </c>
      <c r="K290" s="15">
        <f t="shared" si="50"/>
        <v>15727735.57</v>
      </c>
      <c r="L290" s="15">
        <f t="shared" si="50"/>
        <v>0</v>
      </c>
      <c r="M290" s="15">
        <f t="shared" si="50"/>
        <v>12226634.310000001</v>
      </c>
      <c r="N290" s="15">
        <f t="shared" si="50"/>
        <v>1676890.6</v>
      </c>
      <c r="O290" s="15">
        <f t="shared" si="50"/>
        <v>588217.89</v>
      </c>
      <c r="P290" s="15">
        <f t="shared" si="50"/>
        <v>0</v>
      </c>
      <c r="Q290" s="15">
        <f t="shared" si="50"/>
        <v>0</v>
      </c>
      <c r="R290" s="15">
        <f t="shared" si="50"/>
        <v>0</v>
      </c>
      <c r="S290" s="15">
        <f t="shared" si="50"/>
        <v>33117851.620000001</v>
      </c>
      <c r="T290" s="16" t="s">
        <v>31</v>
      </c>
      <c r="U290" s="16" t="s">
        <v>31</v>
      </c>
    </row>
    <row r="291" spans="1:21" ht="15.75">
      <c r="A291" s="301" t="s">
        <v>869</v>
      </c>
      <c r="B291" s="303"/>
      <c r="C291" s="83"/>
      <c r="D291" s="116"/>
      <c r="E291" s="116"/>
      <c r="F291" s="14">
        <f t="shared" ref="F291:S291" si="51">F290</f>
        <v>8211.1</v>
      </c>
      <c r="G291" s="27">
        <f t="shared" si="51"/>
        <v>6854.4</v>
      </c>
      <c r="H291" s="27">
        <f t="shared" si="51"/>
        <v>33117851.620000001</v>
      </c>
      <c r="I291" s="15">
        <f t="shared" si="51"/>
        <v>0</v>
      </c>
      <c r="J291" s="15">
        <f t="shared" si="51"/>
        <v>2898373.25</v>
      </c>
      <c r="K291" s="15">
        <f t="shared" si="51"/>
        <v>15727735.57</v>
      </c>
      <c r="L291" s="15">
        <f t="shared" si="51"/>
        <v>0</v>
      </c>
      <c r="M291" s="15">
        <f t="shared" si="51"/>
        <v>12226634.310000001</v>
      </c>
      <c r="N291" s="15">
        <f t="shared" si="51"/>
        <v>1676890.6</v>
      </c>
      <c r="O291" s="15">
        <f t="shared" si="51"/>
        <v>588217.89</v>
      </c>
      <c r="P291" s="15">
        <f t="shared" si="51"/>
        <v>0</v>
      </c>
      <c r="Q291" s="15">
        <f t="shared" si="51"/>
        <v>0</v>
      </c>
      <c r="R291" s="15">
        <f t="shared" si="51"/>
        <v>0</v>
      </c>
      <c r="S291" s="15">
        <f t="shared" si="51"/>
        <v>33117851.620000001</v>
      </c>
      <c r="T291" s="16" t="s">
        <v>31</v>
      </c>
      <c r="U291" s="16" t="s">
        <v>31</v>
      </c>
    </row>
    <row r="292" spans="1:21" ht="15.75">
      <c r="A292" s="289" t="s">
        <v>793</v>
      </c>
      <c r="B292" s="289"/>
      <c r="C292" s="289"/>
      <c r="D292" s="289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</row>
    <row r="293" spans="1:21" ht="15.75">
      <c r="A293" s="289" t="s">
        <v>304</v>
      </c>
      <c r="B293" s="289"/>
      <c r="C293" s="289"/>
      <c r="D293" s="289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</row>
    <row r="294" spans="1:21" ht="15.75">
      <c r="A294" s="79">
        <f>A289+1</f>
        <v>253</v>
      </c>
      <c r="B294" s="264" t="s">
        <v>305</v>
      </c>
      <c r="C294" s="95">
        <v>1965</v>
      </c>
      <c r="D294" s="79"/>
      <c r="E294" s="79"/>
      <c r="F294" s="123">
        <v>366.2</v>
      </c>
      <c r="G294" s="123">
        <v>338.8</v>
      </c>
      <c r="H294" s="1">
        <f>I294+J294+K294+L294+M294+N294+O294</f>
        <v>2041931.04</v>
      </c>
      <c r="I294" s="1">
        <v>0</v>
      </c>
      <c r="J294" s="1">
        <v>0</v>
      </c>
      <c r="K294" s="1">
        <v>0</v>
      </c>
      <c r="L294" s="1">
        <v>0</v>
      </c>
      <c r="M294" s="1">
        <f>ROUND(3143.18*G294*1.015,2)+864217.62</f>
        <v>1945100.64</v>
      </c>
      <c r="N294" s="1">
        <v>0</v>
      </c>
      <c r="O294" s="108">
        <v>96830.399999999994</v>
      </c>
      <c r="P294" s="1">
        <v>0</v>
      </c>
      <c r="Q294" s="1">
        <v>864217.62</v>
      </c>
      <c r="R294" s="1">
        <v>0</v>
      </c>
      <c r="S294" s="13">
        <v>1177713.42</v>
      </c>
      <c r="T294" s="79">
        <v>2020</v>
      </c>
      <c r="U294" s="79">
        <v>2021</v>
      </c>
    </row>
    <row r="295" spans="1:21" ht="15.75">
      <c r="A295" s="79">
        <f>A294+1</f>
        <v>254</v>
      </c>
      <c r="B295" s="264" t="s">
        <v>306</v>
      </c>
      <c r="C295" s="95">
        <v>1965</v>
      </c>
      <c r="D295" s="79"/>
      <c r="E295" s="79"/>
      <c r="F295" s="123">
        <v>365.5</v>
      </c>
      <c r="G295" s="123">
        <v>338.9</v>
      </c>
      <c r="H295" s="1">
        <f>I295+J295+K295+L295+M295+N295+O295</f>
        <v>2055132.1599999999</v>
      </c>
      <c r="I295" s="1">
        <v>0</v>
      </c>
      <c r="J295" s="1">
        <v>0</v>
      </c>
      <c r="K295" s="1">
        <v>0</v>
      </c>
      <c r="L295" s="1">
        <v>0</v>
      </c>
      <c r="M295" s="1">
        <f>ROUND(3143.18*G295*1.015,2)+876995.3</f>
        <v>1958197.36</v>
      </c>
      <c r="N295" s="1">
        <v>0</v>
      </c>
      <c r="O295" s="108">
        <v>96934.8</v>
      </c>
      <c r="P295" s="1">
        <v>0</v>
      </c>
      <c r="Q295" s="1">
        <v>876995.3</v>
      </c>
      <c r="R295" s="1">
        <v>0</v>
      </c>
      <c r="S295" s="13">
        <v>1178136.8600000001</v>
      </c>
      <c r="T295" s="79">
        <v>2020</v>
      </c>
      <c r="U295" s="79">
        <v>2021</v>
      </c>
    </row>
    <row r="296" spans="1:21" ht="15.75">
      <c r="A296" s="79">
        <f>A295+1</f>
        <v>255</v>
      </c>
      <c r="B296" s="264" t="s">
        <v>307</v>
      </c>
      <c r="C296" s="95">
        <v>1966</v>
      </c>
      <c r="D296" s="79"/>
      <c r="E296" s="79"/>
      <c r="F296" s="123">
        <v>362.6</v>
      </c>
      <c r="G296" s="123">
        <v>335</v>
      </c>
      <c r="H296" s="1">
        <f>I296+J296+K296+L296+M296+N296+O296</f>
        <v>2252832.2799999998</v>
      </c>
      <c r="I296" s="1">
        <v>0</v>
      </c>
      <c r="J296" s="1">
        <v>0</v>
      </c>
      <c r="K296" s="1">
        <v>0</v>
      </c>
      <c r="L296" s="1">
        <v>0</v>
      </c>
      <c r="M296" s="1">
        <f>ROUND(3143.18*G296*1.015,2)+1087095.7</f>
        <v>2155855.48</v>
      </c>
      <c r="N296" s="1">
        <v>0</v>
      </c>
      <c r="O296" s="108">
        <v>96976.8</v>
      </c>
      <c r="P296" s="1">
        <v>0</v>
      </c>
      <c r="Q296" s="1">
        <v>1087095.7</v>
      </c>
      <c r="R296" s="1">
        <v>0</v>
      </c>
      <c r="S296" s="13">
        <v>1165736.58</v>
      </c>
      <c r="T296" s="79">
        <v>2020</v>
      </c>
      <c r="U296" s="79">
        <v>2021</v>
      </c>
    </row>
    <row r="297" spans="1:21" ht="15.75">
      <c r="A297" s="79">
        <f>A296+1</f>
        <v>256</v>
      </c>
      <c r="B297" s="186" t="s">
        <v>308</v>
      </c>
      <c r="C297" s="81">
        <v>1977</v>
      </c>
      <c r="D297" s="79"/>
      <c r="E297" s="79"/>
      <c r="F297" s="110">
        <v>521.1</v>
      </c>
      <c r="G297" s="110">
        <v>317.39999999999998</v>
      </c>
      <c r="H297" s="1">
        <f>I297+J297+K297+L297+M297+N297+O297</f>
        <v>16403.2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16403.2</v>
      </c>
      <c r="P297" s="1">
        <v>0</v>
      </c>
      <c r="Q297" s="1">
        <v>0</v>
      </c>
      <c r="R297" s="1">
        <v>0</v>
      </c>
      <c r="S297" s="13">
        <f>H297</f>
        <v>16403.2</v>
      </c>
      <c r="T297" s="79">
        <v>2020</v>
      </c>
      <c r="U297" s="79">
        <v>2020</v>
      </c>
    </row>
    <row r="298" spans="1:21" ht="15.75">
      <c r="A298" s="79">
        <f>A297+1</f>
        <v>257</v>
      </c>
      <c r="B298" s="186" t="s">
        <v>309</v>
      </c>
      <c r="C298" s="81">
        <v>1977</v>
      </c>
      <c r="D298" s="79"/>
      <c r="E298" s="79"/>
      <c r="F298" s="110">
        <v>521.79999999999995</v>
      </c>
      <c r="G298" s="110">
        <v>356.4</v>
      </c>
      <c r="H298" s="1">
        <f>I298+J298+K298+L298+M298+N298+O298</f>
        <v>18418.71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18418.71</v>
      </c>
      <c r="P298" s="1">
        <v>0</v>
      </c>
      <c r="Q298" s="1">
        <v>0</v>
      </c>
      <c r="R298" s="1">
        <v>0</v>
      </c>
      <c r="S298" s="13">
        <f>H298</f>
        <v>18418.71</v>
      </c>
      <c r="T298" s="79">
        <v>2020</v>
      </c>
      <c r="U298" s="79">
        <v>2020</v>
      </c>
    </row>
    <row r="299" spans="1:21" ht="15.75">
      <c r="A299" s="290" t="s">
        <v>40</v>
      </c>
      <c r="B299" s="290"/>
      <c r="C299" s="83"/>
      <c r="D299" s="116"/>
      <c r="E299" s="116"/>
      <c r="F299" s="14">
        <f t="shared" ref="F299:S299" si="52">SUM(F294:F298)</f>
        <v>2137.1999999999998</v>
      </c>
      <c r="G299" s="27">
        <f t="shared" si="52"/>
        <v>1686.5</v>
      </c>
      <c r="H299" s="15">
        <f t="shared" si="52"/>
        <v>6384717.3899999997</v>
      </c>
      <c r="I299" s="15">
        <f t="shared" si="52"/>
        <v>0</v>
      </c>
      <c r="J299" s="15">
        <f t="shared" si="52"/>
        <v>0</v>
      </c>
      <c r="K299" s="15">
        <f t="shared" si="52"/>
        <v>0</v>
      </c>
      <c r="L299" s="15">
        <f t="shared" si="52"/>
        <v>0</v>
      </c>
      <c r="M299" s="15">
        <f t="shared" si="52"/>
        <v>6059153.4800000004</v>
      </c>
      <c r="N299" s="15">
        <f t="shared" si="52"/>
        <v>0</v>
      </c>
      <c r="O299" s="15">
        <f t="shared" si="52"/>
        <v>325563.90999999997</v>
      </c>
      <c r="P299" s="15">
        <f t="shared" si="52"/>
        <v>0</v>
      </c>
      <c r="Q299" s="15">
        <f t="shared" si="52"/>
        <v>2828308.62</v>
      </c>
      <c r="R299" s="15">
        <f t="shared" si="52"/>
        <v>0</v>
      </c>
      <c r="S299" s="15">
        <f t="shared" si="52"/>
        <v>3556408.77</v>
      </c>
      <c r="T299" s="16" t="s">
        <v>31</v>
      </c>
      <c r="U299" s="16" t="s">
        <v>31</v>
      </c>
    </row>
    <row r="300" spans="1:21" ht="15.75">
      <c r="A300" s="289" t="s">
        <v>310</v>
      </c>
      <c r="B300" s="289"/>
      <c r="C300" s="289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</row>
    <row r="301" spans="1:21" ht="15.75">
      <c r="A301" s="79">
        <f>A298+1</f>
        <v>258</v>
      </c>
      <c r="B301" s="186" t="s">
        <v>311</v>
      </c>
      <c r="C301" s="81">
        <v>1959</v>
      </c>
      <c r="D301" s="34"/>
      <c r="E301" s="34"/>
      <c r="F301" s="12">
        <v>1278.5999999999999</v>
      </c>
      <c r="G301" s="12">
        <v>1257.3</v>
      </c>
      <c r="H301" s="1">
        <f>K301+O301</f>
        <v>3725717.4</v>
      </c>
      <c r="I301" s="1">
        <v>0</v>
      </c>
      <c r="J301" s="1">
        <v>0</v>
      </c>
      <c r="K301" s="1">
        <f>3659420+45346.17</f>
        <v>3704766.17</v>
      </c>
      <c r="L301" s="1">
        <v>0</v>
      </c>
      <c r="M301" s="1">
        <v>0</v>
      </c>
      <c r="N301" s="1">
        <v>0</v>
      </c>
      <c r="O301" s="1">
        <v>20951.23</v>
      </c>
      <c r="P301" s="1">
        <v>0</v>
      </c>
      <c r="Q301" s="1">
        <v>0</v>
      </c>
      <c r="R301" s="1">
        <v>0</v>
      </c>
      <c r="S301" s="13">
        <f t="shared" ref="S301:S306" si="53">H301</f>
        <v>3725717.4</v>
      </c>
      <c r="T301" s="79">
        <v>2020</v>
      </c>
      <c r="U301" s="79">
        <v>2020</v>
      </c>
    </row>
    <row r="302" spans="1:21" ht="15.75">
      <c r="A302" s="79">
        <f t="shared" ref="A302:A308" si="54">A301+1</f>
        <v>259</v>
      </c>
      <c r="B302" s="186" t="s">
        <v>312</v>
      </c>
      <c r="C302" s="81">
        <v>1979</v>
      </c>
      <c r="D302" s="34"/>
      <c r="E302" s="34"/>
      <c r="F302" s="12">
        <v>4359.5</v>
      </c>
      <c r="G302" s="12">
        <v>4104.3</v>
      </c>
      <c r="H302" s="1">
        <f>I302+J302+K302+L302+M302+N302+O302</f>
        <v>31005.5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31005.5</v>
      </c>
      <c r="P302" s="1">
        <v>0</v>
      </c>
      <c r="Q302" s="1">
        <v>0</v>
      </c>
      <c r="R302" s="1">
        <v>0</v>
      </c>
      <c r="S302" s="13">
        <f t="shared" si="53"/>
        <v>31005.5</v>
      </c>
      <c r="T302" s="79">
        <v>2020</v>
      </c>
      <c r="U302" s="79">
        <v>2020</v>
      </c>
    </row>
    <row r="303" spans="1:21" ht="15.75">
      <c r="A303" s="79">
        <f t="shared" si="54"/>
        <v>260</v>
      </c>
      <c r="B303" s="186" t="s">
        <v>313</v>
      </c>
      <c r="C303" s="81">
        <v>1953</v>
      </c>
      <c r="D303" s="89"/>
      <c r="E303" s="89"/>
      <c r="F303" s="12">
        <v>690.7</v>
      </c>
      <c r="G303" s="12">
        <v>636.9</v>
      </c>
      <c r="H303" s="1">
        <f>I303+J303+K303+L303+M303+N303+O303</f>
        <v>2454923.8199999998</v>
      </c>
      <c r="I303" s="1">
        <v>0</v>
      </c>
      <c r="J303" s="1">
        <v>0</v>
      </c>
      <c r="K303" s="1">
        <f>2417052+21579.64</f>
        <v>2438631.64</v>
      </c>
      <c r="L303" s="1">
        <v>0</v>
      </c>
      <c r="M303" s="1">
        <v>0</v>
      </c>
      <c r="N303" s="1">
        <v>0</v>
      </c>
      <c r="O303" s="1">
        <v>16292.18</v>
      </c>
      <c r="P303" s="1">
        <v>0</v>
      </c>
      <c r="Q303" s="1">
        <v>0</v>
      </c>
      <c r="R303" s="1">
        <v>0</v>
      </c>
      <c r="S303" s="13">
        <f t="shared" si="53"/>
        <v>2454923.8199999998</v>
      </c>
      <c r="T303" s="79">
        <v>2020</v>
      </c>
      <c r="U303" s="79">
        <v>2020</v>
      </c>
    </row>
    <row r="304" spans="1:21" ht="15.75">
      <c r="A304" s="79">
        <f t="shared" si="54"/>
        <v>261</v>
      </c>
      <c r="B304" s="186" t="s">
        <v>314</v>
      </c>
      <c r="C304" s="81">
        <v>1956</v>
      </c>
      <c r="D304" s="34"/>
      <c r="E304" s="34"/>
      <c r="F304" s="12">
        <v>453.3</v>
      </c>
      <c r="G304" s="12">
        <v>414.2</v>
      </c>
      <c r="H304" s="1">
        <f>I304+J304+K304+L304+M304+N304+O304</f>
        <v>12452.39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12452.39</v>
      </c>
      <c r="P304" s="1">
        <v>0</v>
      </c>
      <c r="Q304" s="1">
        <v>0</v>
      </c>
      <c r="R304" s="1">
        <v>0</v>
      </c>
      <c r="S304" s="13">
        <f t="shared" si="53"/>
        <v>12452.39</v>
      </c>
      <c r="T304" s="79">
        <v>2020</v>
      </c>
      <c r="U304" s="79">
        <v>2020</v>
      </c>
    </row>
    <row r="305" spans="1:21" ht="15.75">
      <c r="A305" s="79">
        <f t="shared" si="54"/>
        <v>262</v>
      </c>
      <c r="B305" s="186" t="s">
        <v>315</v>
      </c>
      <c r="C305" s="81">
        <v>1961</v>
      </c>
      <c r="D305" s="23"/>
      <c r="E305" s="23"/>
      <c r="F305" s="12">
        <v>1854.2</v>
      </c>
      <c r="G305" s="12">
        <v>1748.6</v>
      </c>
      <c r="H305" s="1">
        <f>I305+J305+K305+L305+M305+N305+O305</f>
        <v>7256584.4100000001</v>
      </c>
      <c r="I305" s="1">
        <v>0</v>
      </c>
      <c r="J305" s="1">
        <v>0</v>
      </c>
      <c r="K305" s="1">
        <f>7173228+63065.55</f>
        <v>7236293.5499999998</v>
      </c>
      <c r="L305" s="1">
        <v>0</v>
      </c>
      <c r="M305" s="1"/>
      <c r="N305" s="1">
        <v>0</v>
      </c>
      <c r="O305" s="1">
        <f>20290.86</f>
        <v>20290.86</v>
      </c>
      <c r="P305" s="1">
        <v>0</v>
      </c>
      <c r="Q305" s="1">
        <v>0</v>
      </c>
      <c r="R305" s="1">
        <v>0</v>
      </c>
      <c r="S305" s="13">
        <f t="shared" si="53"/>
        <v>7256584.4100000001</v>
      </c>
      <c r="T305" s="79">
        <v>2020</v>
      </c>
      <c r="U305" s="79">
        <v>2020</v>
      </c>
    </row>
    <row r="306" spans="1:21" ht="15.75">
      <c r="A306" s="79">
        <f t="shared" si="54"/>
        <v>263</v>
      </c>
      <c r="B306" s="186" t="s">
        <v>316</v>
      </c>
      <c r="C306" s="81">
        <v>1961</v>
      </c>
      <c r="D306" s="89"/>
      <c r="E306" s="89"/>
      <c r="F306" s="12">
        <v>1702.5</v>
      </c>
      <c r="G306" s="12">
        <v>1440.5</v>
      </c>
      <c r="H306" s="1">
        <f>I306+J306+K306+L306+M306+N306+O306</f>
        <v>3154401.36</v>
      </c>
      <c r="I306" s="1">
        <v>0</v>
      </c>
      <c r="J306" s="1">
        <v>0</v>
      </c>
      <c r="K306" s="1">
        <f>3053440+51953.52</f>
        <v>3105393.52</v>
      </c>
      <c r="L306" s="1">
        <v>0</v>
      </c>
      <c r="M306" s="1">
        <v>0</v>
      </c>
      <c r="N306" s="1">
        <v>0</v>
      </c>
      <c r="O306" s="1">
        <v>49007.839999999997</v>
      </c>
      <c r="P306" s="1">
        <v>0</v>
      </c>
      <c r="Q306" s="1">
        <v>0</v>
      </c>
      <c r="R306" s="1">
        <v>0</v>
      </c>
      <c r="S306" s="13">
        <f t="shared" si="53"/>
        <v>3154401.36</v>
      </c>
      <c r="T306" s="79">
        <v>2020</v>
      </c>
      <c r="U306" s="79">
        <v>2020</v>
      </c>
    </row>
    <row r="307" spans="1:21" ht="15.75">
      <c r="A307" s="79">
        <f t="shared" si="54"/>
        <v>264</v>
      </c>
      <c r="B307" s="186" t="s">
        <v>317</v>
      </c>
      <c r="C307" s="81">
        <v>1939</v>
      </c>
      <c r="D307" s="89"/>
      <c r="E307" s="89"/>
      <c r="F307" s="12">
        <v>603.1</v>
      </c>
      <c r="G307" s="12">
        <v>541</v>
      </c>
      <c r="H307" s="1">
        <f>I307+O307</f>
        <v>1016324.71</v>
      </c>
      <c r="I307" s="1">
        <f>ROUND(947117.94*1.015,2)</f>
        <v>961324.71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55000</v>
      </c>
      <c r="P307" s="1">
        <v>0</v>
      </c>
      <c r="Q307" s="1">
        <f>H307</f>
        <v>1016324.71</v>
      </c>
      <c r="R307" s="1">
        <v>0</v>
      </c>
      <c r="S307" s="1">
        <v>0</v>
      </c>
      <c r="T307" s="79">
        <v>2020</v>
      </c>
      <c r="U307" s="79">
        <v>2021</v>
      </c>
    </row>
    <row r="308" spans="1:21" ht="15.75">
      <c r="A308" s="79">
        <f t="shared" si="54"/>
        <v>265</v>
      </c>
      <c r="B308" s="186" t="s">
        <v>318</v>
      </c>
      <c r="C308" s="81">
        <v>1953</v>
      </c>
      <c r="D308" s="89"/>
      <c r="E308" s="89"/>
      <c r="F308" s="12">
        <v>837.6</v>
      </c>
      <c r="G308" s="12">
        <v>611.1</v>
      </c>
      <c r="H308" s="1">
        <f>K308+O308</f>
        <v>5200000</v>
      </c>
      <c r="I308" s="1">
        <v>0</v>
      </c>
      <c r="J308" s="1">
        <v>0</v>
      </c>
      <c r="K308" s="1">
        <v>4966203.3499999996</v>
      </c>
      <c r="L308" s="1">
        <v>0</v>
      </c>
      <c r="M308" s="1">
        <v>0</v>
      </c>
      <c r="N308" s="1">
        <v>0</v>
      </c>
      <c r="O308" s="1">
        <v>233796.65</v>
      </c>
      <c r="P308" s="1">
        <v>0</v>
      </c>
      <c r="Q308" s="1">
        <f>H308</f>
        <v>5200000</v>
      </c>
      <c r="R308" s="1">
        <v>0</v>
      </c>
      <c r="S308" s="1">
        <v>0</v>
      </c>
      <c r="T308" s="79">
        <v>2020</v>
      </c>
      <c r="U308" s="79">
        <v>2021</v>
      </c>
    </row>
    <row r="309" spans="1:21" ht="15.75">
      <c r="A309" s="290" t="s">
        <v>40</v>
      </c>
      <c r="B309" s="290"/>
      <c r="C309" s="81"/>
      <c r="D309" s="79"/>
      <c r="E309" s="79"/>
      <c r="F309" s="27">
        <f t="shared" ref="F309:S309" si="55">SUM(F301:F308)</f>
        <v>11779.5</v>
      </c>
      <c r="G309" s="27">
        <f t="shared" si="55"/>
        <v>10753.9</v>
      </c>
      <c r="H309" s="27">
        <f t="shared" si="55"/>
        <v>22851409.59</v>
      </c>
      <c r="I309" s="27">
        <f t="shared" si="55"/>
        <v>961324.71</v>
      </c>
      <c r="J309" s="15">
        <f t="shared" si="55"/>
        <v>0</v>
      </c>
      <c r="K309" s="27">
        <f t="shared" si="55"/>
        <v>21451288.23</v>
      </c>
      <c r="L309" s="15">
        <f t="shared" si="55"/>
        <v>0</v>
      </c>
      <c r="M309" s="15">
        <f t="shared" si="55"/>
        <v>0</v>
      </c>
      <c r="N309" s="15">
        <f t="shared" si="55"/>
        <v>0</v>
      </c>
      <c r="O309" s="15">
        <f t="shared" si="55"/>
        <v>438796.65</v>
      </c>
      <c r="P309" s="15">
        <f t="shared" si="55"/>
        <v>0</v>
      </c>
      <c r="Q309" s="15">
        <f t="shared" si="55"/>
        <v>6216324.71</v>
      </c>
      <c r="R309" s="15">
        <f t="shared" si="55"/>
        <v>0</v>
      </c>
      <c r="S309" s="15">
        <f t="shared" si="55"/>
        <v>16635084.880000001</v>
      </c>
      <c r="T309" s="16" t="s">
        <v>31</v>
      </c>
      <c r="U309" s="16" t="s">
        <v>31</v>
      </c>
    </row>
    <row r="310" spans="1:21" ht="15.75">
      <c r="A310" s="289" t="s">
        <v>319</v>
      </c>
      <c r="B310" s="289"/>
      <c r="C310" s="289"/>
      <c r="D310" s="289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</row>
    <row r="311" spans="1:21" ht="15.75">
      <c r="A311" s="79">
        <f>A308+1</f>
        <v>266</v>
      </c>
      <c r="B311" s="186" t="s">
        <v>320</v>
      </c>
      <c r="C311" s="81">
        <v>1978</v>
      </c>
      <c r="D311" s="79"/>
      <c r="E311" s="79"/>
      <c r="F311" s="92">
        <v>4439.3</v>
      </c>
      <c r="G311" s="91">
        <v>3459.9</v>
      </c>
      <c r="H311" s="1">
        <f>I311+J311+K311+L311+M311+N311+O311</f>
        <v>9318797.2599999998</v>
      </c>
      <c r="I311" s="1">
        <v>0</v>
      </c>
      <c r="J311" s="1">
        <v>0</v>
      </c>
      <c r="K311" s="1">
        <f>G311*2604.66*1.015</f>
        <v>9147041.0800000001</v>
      </c>
      <c r="L311" s="1">
        <v>0</v>
      </c>
      <c r="M311" s="1"/>
      <c r="N311" s="1">
        <v>0</v>
      </c>
      <c r="O311" s="1">
        <v>171756.18</v>
      </c>
      <c r="P311" s="1">
        <v>0</v>
      </c>
      <c r="Q311" s="1">
        <v>0</v>
      </c>
      <c r="R311" s="1">
        <v>0</v>
      </c>
      <c r="S311" s="13">
        <f>H311</f>
        <v>9318797.2599999998</v>
      </c>
      <c r="T311" s="79">
        <v>2020</v>
      </c>
      <c r="U311" s="79">
        <v>2020</v>
      </c>
    </row>
    <row r="312" spans="1:21" ht="15.75">
      <c r="A312" s="290" t="s">
        <v>40</v>
      </c>
      <c r="B312" s="290"/>
      <c r="C312" s="83"/>
      <c r="D312" s="116"/>
      <c r="E312" s="116"/>
      <c r="F312" s="14">
        <f t="shared" ref="F312:S312" si="56">SUM(F311:F311)</f>
        <v>4439.3</v>
      </c>
      <c r="G312" s="27">
        <f t="shared" si="56"/>
        <v>3459.9</v>
      </c>
      <c r="H312" s="27">
        <f t="shared" si="56"/>
        <v>9318797.2599999998</v>
      </c>
      <c r="I312" s="27">
        <f t="shared" si="56"/>
        <v>0</v>
      </c>
      <c r="J312" s="27">
        <f t="shared" si="56"/>
        <v>0</v>
      </c>
      <c r="K312" s="27">
        <f t="shared" si="56"/>
        <v>9147041.0800000001</v>
      </c>
      <c r="L312" s="27">
        <f t="shared" si="56"/>
        <v>0</v>
      </c>
      <c r="M312" s="27">
        <f t="shared" si="56"/>
        <v>0</v>
      </c>
      <c r="N312" s="27">
        <f t="shared" si="56"/>
        <v>0</v>
      </c>
      <c r="O312" s="27">
        <f t="shared" si="56"/>
        <v>171756.18</v>
      </c>
      <c r="P312" s="27">
        <f t="shared" si="56"/>
        <v>0</v>
      </c>
      <c r="Q312" s="27">
        <f t="shared" si="56"/>
        <v>0</v>
      </c>
      <c r="R312" s="27">
        <f t="shared" si="56"/>
        <v>0</v>
      </c>
      <c r="S312" s="27">
        <f t="shared" si="56"/>
        <v>9318797.2599999998</v>
      </c>
      <c r="T312" s="16" t="s">
        <v>31</v>
      </c>
      <c r="U312" s="16" t="s">
        <v>31</v>
      </c>
    </row>
    <row r="313" spans="1:21" ht="15.75">
      <c r="A313" s="290" t="s">
        <v>803</v>
      </c>
      <c r="B313" s="290"/>
      <c r="C313" s="83"/>
      <c r="D313" s="116"/>
      <c r="E313" s="116"/>
      <c r="F313" s="14">
        <f>F309+F299+F312</f>
        <v>18356</v>
      </c>
      <c r="G313" s="27">
        <f>G309+G299+G312</f>
        <v>15900.3</v>
      </c>
      <c r="H313" s="27">
        <f>H309+H299+H312</f>
        <v>38554924.240000002</v>
      </c>
      <c r="I313" s="27">
        <f>I309+I299+I312</f>
        <v>961324.71</v>
      </c>
      <c r="J313" s="15">
        <v>0</v>
      </c>
      <c r="K313" s="15">
        <f t="shared" ref="K313:S313" si="57">K309+K299+K312</f>
        <v>30598329.309999999</v>
      </c>
      <c r="L313" s="15">
        <f t="shared" si="57"/>
        <v>0</v>
      </c>
      <c r="M313" s="27">
        <f t="shared" si="57"/>
        <v>6059153.4800000004</v>
      </c>
      <c r="N313" s="15">
        <f t="shared" si="57"/>
        <v>0</v>
      </c>
      <c r="O313" s="15">
        <f t="shared" si="57"/>
        <v>936116.74</v>
      </c>
      <c r="P313" s="15">
        <f t="shared" si="57"/>
        <v>0</v>
      </c>
      <c r="Q313" s="15">
        <f t="shared" si="57"/>
        <v>9044633.3300000001</v>
      </c>
      <c r="R313" s="15">
        <f t="shared" si="57"/>
        <v>0</v>
      </c>
      <c r="S313" s="15">
        <f t="shared" si="57"/>
        <v>29510290.91</v>
      </c>
      <c r="T313" s="16" t="s">
        <v>31</v>
      </c>
      <c r="U313" s="16" t="s">
        <v>31</v>
      </c>
    </row>
    <row r="314" spans="1:21" ht="15.75">
      <c r="A314" s="289" t="s">
        <v>794</v>
      </c>
      <c r="B314" s="289"/>
      <c r="C314" s="289"/>
      <c r="D314" s="289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</row>
    <row r="315" spans="1:21" ht="15.75">
      <c r="A315" s="289" t="s">
        <v>321</v>
      </c>
      <c r="B315" s="289"/>
      <c r="C315" s="289"/>
      <c r="D315" s="289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</row>
    <row r="316" spans="1:21" ht="15.75">
      <c r="A316" s="79">
        <f>A311+1</f>
        <v>267</v>
      </c>
      <c r="B316" s="186" t="s">
        <v>322</v>
      </c>
      <c r="C316" s="81">
        <v>1946</v>
      </c>
      <c r="D316" s="79"/>
      <c r="E316" s="79"/>
      <c r="F316" s="33">
        <v>1002.1</v>
      </c>
      <c r="G316" s="92">
        <v>989.9</v>
      </c>
      <c r="H316" s="1">
        <f>I316+J316+K316+L316+M316+N316+O316</f>
        <v>2631842.56</v>
      </c>
      <c r="I316" s="1">
        <v>0</v>
      </c>
      <c r="J316" s="1">
        <v>0</v>
      </c>
      <c r="K316" s="1">
        <v>0</v>
      </c>
      <c r="L316" s="1">
        <v>0</v>
      </c>
      <c r="M316" s="1">
        <f>ROUND(2567.54*G316*1.015,2)+0.01</f>
        <v>2579731.9700000002</v>
      </c>
      <c r="N316" s="1">
        <v>0</v>
      </c>
      <c r="O316" s="1">
        <v>52110.59</v>
      </c>
      <c r="P316" s="1">
        <v>0</v>
      </c>
      <c r="Q316" s="1">
        <v>0</v>
      </c>
      <c r="R316" s="1">
        <v>0</v>
      </c>
      <c r="S316" s="13">
        <f>H316</f>
        <v>2631842.56</v>
      </c>
      <c r="T316" s="79">
        <v>2020</v>
      </c>
      <c r="U316" s="79">
        <v>2020</v>
      </c>
    </row>
    <row r="317" spans="1:21" ht="15.75">
      <c r="A317" s="290" t="s">
        <v>40</v>
      </c>
      <c r="B317" s="290"/>
      <c r="C317" s="81"/>
      <c r="D317" s="79"/>
      <c r="E317" s="79"/>
      <c r="F317" s="14">
        <f>SUM(F316:F316)</f>
        <v>1002.1</v>
      </c>
      <c r="G317" s="27">
        <f>SUM(G316:G316)</f>
        <v>989.9</v>
      </c>
      <c r="H317" s="15">
        <f>SUM(H316:H316)</f>
        <v>2631842.56</v>
      </c>
      <c r="I317" s="15">
        <f>SUM(I316:I316)</f>
        <v>0</v>
      </c>
      <c r="J317" s="15">
        <f>SUM(J316)</f>
        <v>0</v>
      </c>
      <c r="K317" s="15">
        <f>SUM(K316)</f>
        <v>0</v>
      </c>
      <c r="L317" s="15">
        <f>SUM(L316)</f>
        <v>0</v>
      </c>
      <c r="M317" s="15">
        <f>SUM(M316:M316)</f>
        <v>2579731.9700000002</v>
      </c>
      <c r="N317" s="15">
        <f>SUM(N316)</f>
        <v>0</v>
      </c>
      <c r="O317" s="15">
        <f>SUM(O316:O316)</f>
        <v>52110.59</v>
      </c>
      <c r="P317" s="15">
        <f>SUM(P316)</f>
        <v>0</v>
      </c>
      <c r="Q317" s="15">
        <f>SUM(Q316:Q316)</f>
        <v>0</v>
      </c>
      <c r="R317" s="14">
        <f>SUM(R316)</f>
        <v>0</v>
      </c>
      <c r="S317" s="15">
        <f>SUM(S316:S316)</f>
        <v>2631842.56</v>
      </c>
      <c r="T317" s="16" t="s">
        <v>31</v>
      </c>
      <c r="U317" s="16" t="s">
        <v>31</v>
      </c>
    </row>
    <row r="318" spans="1:21" ht="15.75">
      <c r="A318" s="289" t="s">
        <v>323</v>
      </c>
      <c r="B318" s="289"/>
      <c r="C318" s="289"/>
      <c r="D318" s="289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</row>
    <row r="319" spans="1:21" ht="15.75">
      <c r="A319" s="79">
        <f>A316+1</f>
        <v>268</v>
      </c>
      <c r="B319" s="186" t="s">
        <v>324</v>
      </c>
      <c r="C319" s="81">
        <v>1972</v>
      </c>
      <c r="D319" s="79"/>
      <c r="E319" s="79"/>
      <c r="F319" s="124">
        <v>4972.5</v>
      </c>
      <c r="G319" s="124">
        <v>4568.2</v>
      </c>
      <c r="H319" s="1">
        <f>I319+J319+K319+L319+M319+N319+O319</f>
        <v>12798143.720000001</v>
      </c>
      <c r="I319" s="1">
        <v>0</v>
      </c>
      <c r="J319" s="1">
        <v>0</v>
      </c>
      <c r="K319" s="1">
        <f>ROUND(G319*2760.17*1.015,2)</f>
        <v>12798143.720000001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3">
        <f>H319</f>
        <v>12798143.720000001</v>
      </c>
      <c r="T319" s="79">
        <v>2018</v>
      </c>
      <c r="U319" s="79">
        <v>2020</v>
      </c>
    </row>
    <row r="320" spans="1:21" ht="15.75">
      <c r="A320" s="290" t="s">
        <v>40</v>
      </c>
      <c r="B320" s="290"/>
      <c r="C320" s="83"/>
      <c r="D320" s="116"/>
      <c r="E320" s="116"/>
      <c r="F320" s="14">
        <f>SUM(F319:F319)</f>
        <v>4972.5</v>
      </c>
      <c r="G320" s="27">
        <f>SUM(G319:G319)</f>
        <v>4568.2</v>
      </c>
      <c r="H320" s="15">
        <f>SUM(H319:H319)</f>
        <v>12798143.720000001</v>
      </c>
      <c r="I320" s="15">
        <f>SUM(I319:I319)</f>
        <v>0</v>
      </c>
      <c r="J320" s="15">
        <f>SUM(J319)</f>
        <v>0</v>
      </c>
      <c r="K320" s="15">
        <f>SUM(K319:K319)</f>
        <v>12798143.720000001</v>
      </c>
      <c r="L320" s="15">
        <f>SUM(L319)</f>
        <v>0</v>
      </c>
      <c r="M320" s="15">
        <f>SUM(M319)</f>
        <v>0</v>
      </c>
      <c r="N320" s="15">
        <f>SUM(N319)</f>
        <v>0</v>
      </c>
      <c r="O320" s="15">
        <f>SUM(O319)</f>
        <v>0</v>
      </c>
      <c r="P320" s="15">
        <f>SUM(P319)</f>
        <v>0</v>
      </c>
      <c r="Q320" s="15">
        <f>SUM(Q319:Q319)</f>
        <v>0</v>
      </c>
      <c r="R320" s="15">
        <f>SUM(R319)</f>
        <v>0</v>
      </c>
      <c r="S320" s="15">
        <f>SUM(S319:S319)</f>
        <v>12798143.720000001</v>
      </c>
      <c r="T320" s="16" t="s">
        <v>31</v>
      </c>
      <c r="U320" s="16" t="s">
        <v>31</v>
      </c>
    </row>
    <row r="321" spans="1:21" ht="15.75">
      <c r="A321" s="298" t="s">
        <v>325</v>
      </c>
      <c r="B321" s="299"/>
      <c r="C321" s="299"/>
      <c r="D321" s="299"/>
      <c r="E321" s="299"/>
      <c r="F321" s="299"/>
      <c r="G321" s="299"/>
      <c r="H321" s="299"/>
      <c r="I321" s="299"/>
      <c r="J321" s="299"/>
      <c r="K321" s="299"/>
      <c r="L321" s="299"/>
      <c r="M321" s="299"/>
      <c r="N321" s="299"/>
      <c r="O321" s="299"/>
      <c r="P321" s="299"/>
      <c r="Q321" s="299"/>
      <c r="R321" s="299"/>
      <c r="S321" s="299"/>
      <c r="T321" s="299"/>
      <c r="U321" s="300"/>
    </row>
    <row r="322" spans="1:21" ht="15.75">
      <c r="A322" s="89">
        <f>A319+1</f>
        <v>269</v>
      </c>
      <c r="B322" s="255" t="s">
        <v>326</v>
      </c>
      <c r="C322" s="81">
        <v>1971</v>
      </c>
      <c r="D322" s="79"/>
      <c r="E322" s="79"/>
      <c r="F322" s="90">
        <v>3511.4</v>
      </c>
      <c r="G322" s="90">
        <v>3180.7</v>
      </c>
      <c r="H322" s="1">
        <f>I322+J322+K322+L322+M322+N322+O322</f>
        <v>3036809.11</v>
      </c>
      <c r="I322" s="1">
        <f>ROUND((457.67+430.48)*G322*1.015,2)</f>
        <v>2867312.79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169496.32000000001</v>
      </c>
      <c r="P322" s="1">
        <v>0</v>
      </c>
      <c r="Q322" s="1">
        <v>0</v>
      </c>
      <c r="R322" s="1">
        <v>0</v>
      </c>
      <c r="S322" s="13">
        <f>H322</f>
        <v>3036809.11</v>
      </c>
      <c r="T322" s="79">
        <v>2020</v>
      </c>
      <c r="U322" s="79">
        <v>2020</v>
      </c>
    </row>
    <row r="323" spans="1:21" ht="15.75">
      <c r="A323" s="89">
        <f>A322+1</f>
        <v>270</v>
      </c>
      <c r="B323" s="255" t="s">
        <v>327</v>
      </c>
      <c r="C323" s="81">
        <v>1975</v>
      </c>
      <c r="D323" s="79"/>
      <c r="E323" s="79"/>
      <c r="F323" s="90">
        <v>2360.6999999999998</v>
      </c>
      <c r="G323" s="90">
        <v>1794.8</v>
      </c>
      <c r="H323" s="1">
        <f>I323+J323+K323+L323+M323+N323+O323</f>
        <v>8107518.0099999998</v>
      </c>
      <c r="I323" s="1">
        <f>ROUND(((457.67+430.48+2786.22)*G323+947117.94)*1.015,2)+0.01</f>
        <v>7655005.3799999999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f>152470.17+300042.46</f>
        <v>452512.63</v>
      </c>
      <c r="P323" s="1">
        <v>0</v>
      </c>
      <c r="Q323" s="1">
        <v>0</v>
      </c>
      <c r="R323" s="1">
        <v>0</v>
      </c>
      <c r="S323" s="13">
        <f>H323</f>
        <v>8107518.0099999998</v>
      </c>
      <c r="T323" s="79">
        <v>2020</v>
      </c>
      <c r="U323" s="79">
        <v>2020</v>
      </c>
    </row>
    <row r="324" spans="1:21" ht="15.75">
      <c r="A324" s="89">
        <f>A323+1</f>
        <v>271</v>
      </c>
      <c r="B324" s="255" t="s">
        <v>328</v>
      </c>
      <c r="C324" s="81">
        <v>1975</v>
      </c>
      <c r="D324" s="79"/>
      <c r="E324" s="79"/>
      <c r="F324" s="90">
        <v>3012.8</v>
      </c>
      <c r="G324" s="90">
        <v>2697.8</v>
      </c>
      <c r="H324" s="1">
        <f>I324+J324+K324+L324+M324+N324+O324</f>
        <v>1472166.52</v>
      </c>
      <c r="I324" s="1">
        <f>ROUND((293.24+214.38)*G324*1.015,2)</f>
        <v>1389999.09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82167.429999999993</v>
      </c>
      <c r="P324" s="1">
        <v>0</v>
      </c>
      <c r="Q324" s="1">
        <v>0</v>
      </c>
      <c r="R324" s="1">
        <v>0</v>
      </c>
      <c r="S324" s="13">
        <f>H324</f>
        <v>1472166.52</v>
      </c>
      <c r="T324" s="79">
        <v>2020</v>
      </c>
      <c r="U324" s="79">
        <v>2020</v>
      </c>
    </row>
    <row r="325" spans="1:21" ht="15.75">
      <c r="A325" s="89">
        <f>A324+1</f>
        <v>272</v>
      </c>
      <c r="B325" s="255" t="s">
        <v>329</v>
      </c>
      <c r="C325" s="81">
        <v>1976</v>
      </c>
      <c r="D325" s="79"/>
      <c r="E325" s="79"/>
      <c r="F325" s="90">
        <v>2982.4</v>
      </c>
      <c r="G325" s="90">
        <v>2610.8000000000002</v>
      </c>
      <c r="H325" s="1">
        <f>I325+J325+K325+L325+M325+N325+O325</f>
        <v>1424691.36</v>
      </c>
      <c r="I325" s="1">
        <f>ROUND((293.24+214.38)*G325*1.015,2)-0.01</f>
        <v>1345173.7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79517.66</v>
      </c>
      <c r="P325" s="1">
        <v>0</v>
      </c>
      <c r="Q325" s="1">
        <v>0</v>
      </c>
      <c r="R325" s="1">
        <v>0</v>
      </c>
      <c r="S325" s="13">
        <f>H325</f>
        <v>1424691.36</v>
      </c>
      <c r="T325" s="79">
        <v>2020</v>
      </c>
      <c r="U325" s="79">
        <v>2020</v>
      </c>
    </row>
    <row r="326" spans="1:21" ht="15.75">
      <c r="A326" s="301" t="s">
        <v>40</v>
      </c>
      <c r="B326" s="303"/>
      <c r="C326" s="83"/>
      <c r="D326" s="116"/>
      <c r="E326" s="116"/>
      <c r="F326" s="14">
        <f t="shared" ref="F326:S326" si="58">SUM(F322:F325)</f>
        <v>11867.3</v>
      </c>
      <c r="G326" s="27">
        <f t="shared" si="58"/>
        <v>10284.1</v>
      </c>
      <c r="H326" s="27">
        <f t="shared" si="58"/>
        <v>14041185</v>
      </c>
      <c r="I326" s="27">
        <f t="shared" si="58"/>
        <v>13257490.960000001</v>
      </c>
      <c r="J326" s="15">
        <f t="shared" si="58"/>
        <v>0</v>
      </c>
      <c r="K326" s="15">
        <f t="shared" si="58"/>
        <v>0</v>
      </c>
      <c r="L326" s="15">
        <f t="shared" si="58"/>
        <v>0</v>
      </c>
      <c r="M326" s="15">
        <f t="shared" si="58"/>
        <v>0</v>
      </c>
      <c r="N326" s="15">
        <f t="shared" si="58"/>
        <v>0</v>
      </c>
      <c r="O326" s="15">
        <f t="shared" si="58"/>
        <v>783694.04</v>
      </c>
      <c r="P326" s="15">
        <f t="shared" si="58"/>
        <v>0</v>
      </c>
      <c r="Q326" s="15">
        <f t="shared" si="58"/>
        <v>0</v>
      </c>
      <c r="R326" s="15">
        <f t="shared" si="58"/>
        <v>0</v>
      </c>
      <c r="S326" s="27">
        <f t="shared" si="58"/>
        <v>14041185</v>
      </c>
      <c r="T326" s="16" t="s">
        <v>31</v>
      </c>
      <c r="U326" s="16" t="s">
        <v>31</v>
      </c>
    </row>
    <row r="327" spans="1:21" ht="15.75">
      <c r="A327" s="298" t="s">
        <v>330</v>
      </c>
      <c r="B327" s="299"/>
      <c r="C327" s="299"/>
      <c r="D327" s="299"/>
      <c r="E327" s="299"/>
      <c r="F327" s="299"/>
      <c r="G327" s="299"/>
      <c r="H327" s="299"/>
      <c r="I327" s="299"/>
      <c r="J327" s="299"/>
      <c r="K327" s="299"/>
      <c r="L327" s="299"/>
      <c r="M327" s="299"/>
      <c r="N327" s="299"/>
      <c r="O327" s="299"/>
      <c r="P327" s="299"/>
      <c r="Q327" s="299"/>
      <c r="R327" s="299"/>
      <c r="S327" s="299"/>
      <c r="T327" s="299"/>
      <c r="U327" s="300"/>
    </row>
    <row r="328" spans="1:21" ht="15.75">
      <c r="A328" s="79">
        <f>A325+1</f>
        <v>273</v>
      </c>
      <c r="B328" s="256" t="s">
        <v>331</v>
      </c>
      <c r="C328" s="81">
        <v>1947</v>
      </c>
      <c r="D328" s="79"/>
      <c r="E328" s="79"/>
      <c r="F328" s="90">
        <v>612.5</v>
      </c>
      <c r="G328" s="90">
        <v>548.79999999999995</v>
      </c>
      <c r="H328" s="1">
        <f>I328+J328+K328+L328+M328+N328+O328</f>
        <v>3032242.6</v>
      </c>
      <c r="I328" s="1">
        <v>0</v>
      </c>
      <c r="J328" s="1">
        <v>0</v>
      </c>
      <c r="K328" s="1">
        <v>0</v>
      </c>
      <c r="L328" s="1">
        <v>0</v>
      </c>
      <c r="M328" s="1">
        <f>ROUND(4330.77*G328*1.015,2)</f>
        <v>2412377.4700000002</v>
      </c>
      <c r="N328" s="1">
        <f>ROUND(999.27*G328*1.015,2)</f>
        <v>556625.37</v>
      </c>
      <c r="O328" s="1">
        <v>63239.76</v>
      </c>
      <c r="P328" s="1">
        <v>0</v>
      </c>
      <c r="Q328" s="1">
        <v>0</v>
      </c>
      <c r="R328" s="1">
        <v>0</v>
      </c>
      <c r="S328" s="13">
        <f>H328</f>
        <v>3032242.6</v>
      </c>
      <c r="T328" s="79">
        <v>2020</v>
      </c>
      <c r="U328" s="79">
        <v>2020</v>
      </c>
    </row>
    <row r="329" spans="1:21" ht="15.75">
      <c r="A329" s="79">
        <f>A328+1</f>
        <v>274</v>
      </c>
      <c r="B329" s="256" t="s">
        <v>332</v>
      </c>
      <c r="C329" s="81">
        <v>1937</v>
      </c>
      <c r="D329" s="79"/>
      <c r="E329" s="79"/>
      <c r="F329" s="90">
        <v>403.1</v>
      </c>
      <c r="G329" s="90">
        <v>363.9</v>
      </c>
      <c r="H329" s="1">
        <f>I329+J329+K329+L329+M329+N329+O329</f>
        <v>1854168.82</v>
      </c>
      <c r="I329" s="1">
        <v>0</v>
      </c>
      <c r="J329" s="1">
        <v>0</v>
      </c>
      <c r="K329" s="1">
        <f>ROUND(G329*4807.48*1.015,2)</f>
        <v>1775683.6</v>
      </c>
      <c r="L329" s="1">
        <v>0</v>
      </c>
      <c r="M329" s="1">
        <v>0</v>
      </c>
      <c r="N329" s="1">
        <v>0</v>
      </c>
      <c r="O329" s="1">
        <v>78485.22</v>
      </c>
      <c r="P329" s="1">
        <v>0</v>
      </c>
      <c r="Q329" s="1">
        <v>0</v>
      </c>
      <c r="R329" s="1">
        <v>0</v>
      </c>
      <c r="S329" s="13">
        <f>H329</f>
        <v>1854168.82</v>
      </c>
      <c r="T329" s="79">
        <v>2020</v>
      </c>
      <c r="U329" s="79">
        <v>2020</v>
      </c>
    </row>
    <row r="330" spans="1:21" ht="15.75">
      <c r="A330" s="79">
        <f>A329+1</f>
        <v>275</v>
      </c>
      <c r="B330" s="256" t="s">
        <v>333</v>
      </c>
      <c r="C330" s="81">
        <v>1988</v>
      </c>
      <c r="D330" s="79"/>
      <c r="E330" s="79"/>
      <c r="F330" s="90">
        <v>4414.3</v>
      </c>
      <c r="G330" s="90">
        <v>3763.2</v>
      </c>
      <c r="H330" s="1">
        <f>I330+J330+K330+L330+M330+N330+O330</f>
        <v>6075603.3200000003</v>
      </c>
      <c r="I330" s="1">
        <v>0</v>
      </c>
      <c r="J330" s="1">
        <f>ROUND(2*3037801.66,2)-O330</f>
        <v>5923713.2400000002</v>
      </c>
      <c r="K330" s="1">
        <v>0</v>
      </c>
      <c r="L330" s="1">
        <v>0</v>
      </c>
      <c r="M330" s="1">
        <v>0</v>
      </c>
      <c r="N330" s="1">
        <v>0</v>
      </c>
      <c r="O330" s="1">
        <v>151890.07999999999</v>
      </c>
      <c r="P330" s="1">
        <v>0</v>
      </c>
      <c r="Q330" s="1">
        <v>0</v>
      </c>
      <c r="R330" s="1">
        <v>0</v>
      </c>
      <c r="S330" s="13">
        <f>H330</f>
        <v>6075603.3200000003</v>
      </c>
      <c r="T330" s="79">
        <v>2020</v>
      </c>
      <c r="U330" s="79">
        <v>2020</v>
      </c>
    </row>
    <row r="331" spans="1:21" ht="15.75">
      <c r="A331" s="79">
        <f>A330+1</f>
        <v>276</v>
      </c>
      <c r="B331" s="256" t="s">
        <v>334</v>
      </c>
      <c r="C331" s="81">
        <v>1953</v>
      </c>
      <c r="D331" s="79"/>
      <c r="E331" s="79"/>
      <c r="F331" s="90">
        <v>670.7</v>
      </c>
      <c r="G331" s="90">
        <v>608.70000000000005</v>
      </c>
      <c r="H331" s="1">
        <f>I331+J331+K331+L331+M331+N331+O331</f>
        <v>3885608.81</v>
      </c>
      <c r="I331" s="1">
        <v>0</v>
      </c>
      <c r="J331" s="1">
        <v>0</v>
      </c>
      <c r="K331" s="1">
        <f>ROUND(G331*6183.99*1.015,2)</f>
        <v>3820657.63</v>
      </c>
      <c r="L331" s="1">
        <v>0</v>
      </c>
      <c r="M331" s="1">
        <v>0</v>
      </c>
      <c r="N331" s="1">
        <v>0</v>
      </c>
      <c r="O331" s="1">
        <v>64951.18</v>
      </c>
      <c r="P331" s="1">
        <v>0</v>
      </c>
      <c r="Q331" s="1">
        <v>0</v>
      </c>
      <c r="R331" s="1">
        <v>0</v>
      </c>
      <c r="S331" s="13">
        <f>H331</f>
        <v>3885608.81</v>
      </c>
      <c r="T331" s="79">
        <v>2020</v>
      </c>
      <c r="U331" s="79">
        <v>2020</v>
      </c>
    </row>
    <row r="332" spans="1:21" ht="15.75">
      <c r="A332" s="301" t="s">
        <v>40</v>
      </c>
      <c r="B332" s="303"/>
      <c r="C332" s="83"/>
      <c r="D332" s="116"/>
      <c r="E332" s="116"/>
      <c r="F332" s="14">
        <f t="shared" ref="F332:S332" si="59">SUM(F328:F331)</f>
        <v>6100.6</v>
      </c>
      <c r="G332" s="27">
        <f t="shared" si="59"/>
        <v>5284.6</v>
      </c>
      <c r="H332" s="15">
        <f t="shared" si="59"/>
        <v>14847623.550000001</v>
      </c>
      <c r="I332" s="15">
        <f t="shared" si="59"/>
        <v>0</v>
      </c>
      <c r="J332" s="15">
        <f t="shared" si="59"/>
        <v>5923713.2400000002</v>
      </c>
      <c r="K332" s="15">
        <f t="shared" si="59"/>
        <v>5596341.2300000004</v>
      </c>
      <c r="L332" s="15">
        <f t="shared" si="59"/>
        <v>0</v>
      </c>
      <c r="M332" s="15">
        <f t="shared" si="59"/>
        <v>2412377.4700000002</v>
      </c>
      <c r="N332" s="15">
        <f t="shared" si="59"/>
        <v>556625.37</v>
      </c>
      <c r="O332" s="15">
        <f t="shared" si="59"/>
        <v>358566.24</v>
      </c>
      <c r="P332" s="15">
        <f t="shared" si="59"/>
        <v>0</v>
      </c>
      <c r="Q332" s="15">
        <f t="shared" si="59"/>
        <v>0</v>
      </c>
      <c r="R332" s="15">
        <f t="shared" si="59"/>
        <v>0</v>
      </c>
      <c r="S332" s="15">
        <f t="shared" si="59"/>
        <v>14847623.550000001</v>
      </c>
      <c r="T332" s="16" t="s">
        <v>31</v>
      </c>
      <c r="U332" s="16" t="s">
        <v>31</v>
      </c>
    </row>
    <row r="333" spans="1:21" ht="15.75">
      <c r="A333" s="298" t="s">
        <v>335</v>
      </c>
      <c r="B333" s="299"/>
      <c r="C333" s="299"/>
      <c r="D333" s="299"/>
      <c r="E333" s="299"/>
      <c r="F333" s="299"/>
      <c r="G333" s="299"/>
      <c r="H333" s="299"/>
      <c r="I333" s="299"/>
      <c r="J333" s="299"/>
      <c r="K333" s="299"/>
      <c r="L333" s="299"/>
      <c r="M333" s="299"/>
      <c r="N333" s="299"/>
      <c r="O333" s="299"/>
      <c r="P333" s="299"/>
      <c r="Q333" s="299"/>
      <c r="R333" s="299"/>
      <c r="S333" s="299"/>
      <c r="T333" s="299"/>
      <c r="U333" s="300"/>
    </row>
    <row r="334" spans="1:21" ht="15.75">
      <c r="A334" s="79">
        <f>A331+1</f>
        <v>277</v>
      </c>
      <c r="B334" s="186" t="s">
        <v>336</v>
      </c>
      <c r="C334" s="81">
        <v>1964</v>
      </c>
      <c r="D334" s="79"/>
      <c r="E334" s="79"/>
      <c r="F334" s="90">
        <v>1708.8</v>
      </c>
      <c r="G334" s="90">
        <v>1375.2</v>
      </c>
      <c r="H334" s="1">
        <f>I334+J334+K334+L334+M334+N334+O334</f>
        <v>3738850.92</v>
      </c>
      <c r="I334" s="1">
        <v>0</v>
      </c>
      <c r="J334" s="1">
        <v>0</v>
      </c>
      <c r="K334" s="1">
        <f>ROUND(G334*2678.59*1.015,2)</f>
        <v>3738850.92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3">
        <f>H334</f>
        <v>3738850.92</v>
      </c>
      <c r="T334" s="79">
        <v>2018</v>
      </c>
      <c r="U334" s="79">
        <v>2020</v>
      </c>
    </row>
    <row r="335" spans="1:21" ht="15.75">
      <c r="A335" s="79">
        <f>A334+1</f>
        <v>278</v>
      </c>
      <c r="B335" s="254" t="s">
        <v>337</v>
      </c>
      <c r="C335" s="81">
        <v>1966</v>
      </c>
      <c r="D335" s="79"/>
      <c r="E335" s="79"/>
      <c r="F335" s="90">
        <v>1470.2</v>
      </c>
      <c r="G335" s="90">
        <v>1294</v>
      </c>
      <c r="H335" s="1">
        <f>I335+J335+K335+L335+M335+N335+O335</f>
        <v>148908.87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148908.87</v>
      </c>
      <c r="P335" s="1">
        <v>0</v>
      </c>
      <c r="Q335" s="1">
        <v>0</v>
      </c>
      <c r="R335" s="1">
        <v>0</v>
      </c>
      <c r="S335" s="13">
        <f>H335</f>
        <v>148908.87</v>
      </c>
      <c r="T335" s="79">
        <v>2020</v>
      </c>
      <c r="U335" s="79">
        <v>2020</v>
      </c>
    </row>
    <row r="336" spans="1:21" ht="15.75">
      <c r="A336" s="301" t="s">
        <v>40</v>
      </c>
      <c r="B336" s="303"/>
      <c r="C336" s="83"/>
      <c r="D336" s="116"/>
      <c r="E336" s="116"/>
      <c r="F336" s="14">
        <f t="shared" ref="F336:S336" si="60">SUM(F334:F335)</f>
        <v>3179</v>
      </c>
      <c r="G336" s="27">
        <f t="shared" si="60"/>
        <v>2669.2</v>
      </c>
      <c r="H336" s="27">
        <f t="shared" si="60"/>
        <v>3887759.79</v>
      </c>
      <c r="I336" s="15">
        <f t="shared" si="60"/>
        <v>0</v>
      </c>
      <c r="J336" s="15">
        <f t="shared" si="60"/>
        <v>0</v>
      </c>
      <c r="K336" s="15">
        <f t="shared" si="60"/>
        <v>3738850.92</v>
      </c>
      <c r="L336" s="15">
        <f t="shared" si="60"/>
        <v>0</v>
      </c>
      <c r="M336" s="15">
        <f t="shared" si="60"/>
        <v>0</v>
      </c>
      <c r="N336" s="15">
        <f t="shared" si="60"/>
        <v>0</v>
      </c>
      <c r="O336" s="27">
        <f t="shared" si="60"/>
        <v>148908.87</v>
      </c>
      <c r="P336" s="27">
        <f t="shared" si="60"/>
        <v>0</v>
      </c>
      <c r="Q336" s="27">
        <f t="shared" si="60"/>
        <v>0</v>
      </c>
      <c r="R336" s="27">
        <f t="shared" si="60"/>
        <v>0</v>
      </c>
      <c r="S336" s="27">
        <f t="shared" si="60"/>
        <v>3887759.79</v>
      </c>
      <c r="T336" s="16" t="s">
        <v>31</v>
      </c>
      <c r="U336" s="16" t="s">
        <v>31</v>
      </c>
    </row>
    <row r="337" spans="1:21" ht="15.75">
      <c r="A337" s="298" t="s">
        <v>338</v>
      </c>
      <c r="B337" s="299"/>
      <c r="C337" s="299"/>
      <c r="D337" s="299"/>
      <c r="E337" s="299"/>
      <c r="F337" s="299"/>
      <c r="G337" s="299"/>
      <c r="H337" s="299"/>
      <c r="I337" s="299"/>
      <c r="J337" s="299"/>
      <c r="K337" s="299"/>
      <c r="L337" s="299"/>
      <c r="M337" s="299"/>
      <c r="N337" s="299"/>
      <c r="O337" s="299"/>
      <c r="P337" s="299"/>
      <c r="Q337" s="299"/>
      <c r="R337" s="299"/>
      <c r="S337" s="299"/>
      <c r="T337" s="299"/>
      <c r="U337" s="300"/>
    </row>
    <row r="338" spans="1:21" ht="15.75">
      <c r="A338" s="79">
        <f>A335+1</f>
        <v>279</v>
      </c>
      <c r="B338" s="186" t="s">
        <v>339</v>
      </c>
      <c r="C338" s="81">
        <v>1980</v>
      </c>
      <c r="D338" s="79"/>
      <c r="E338" s="79"/>
      <c r="F338" s="33">
        <v>4436.3</v>
      </c>
      <c r="G338" s="33">
        <v>3844</v>
      </c>
      <c r="H338" s="1">
        <f>I338+J338+K338+L338+M338+N338+O338</f>
        <v>3037801.66</v>
      </c>
      <c r="I338" s="1">
        <v>0</v>
      </c>
      <c r="J338" s="1">
        <f>2918085.34*1.015</f>
        <v>2961856.62</v>
      </c>
      <c r="K338" s="1">
        <v>0</v>
      </c>
      <c r="L338" s="1">
        <v>0</v>
      </c>
      <c r="M338" s="1">
        <v>0</v>
      </c>
      <c r="N338" s="1">
        <v>0</v>
      </c>
      <c r="O338" s="1">
        <f>75945.04</f>
        <v>75945.039999999994</v>
      </c>
      <c r="P338" s="1">
        <v>0</v>
      </c>
      <c r="Q338" s="1">
        <v>0</v>
      </c>
      <c r="R338" s="1">
        <v>0</v>
      </c>
      <c r="S338" s="13">
        <f>H338</f>
        <v>3037801.66</v>
      </c>
      <c r="T338" s="79">
        <v>2020</v>
      </c>
      <c r="U338" s="79">
        <v>2020</v>
      </c>
    </row>
    <row r="339" spans="1:21" ht="15.75">
      <c r="A339" s="79">
        <f>A338+1</f>
        <v>280</v>
      </c>
      <c r="B339" s="254" t="s">
        <v>340</v>
      </c>
      <c r="C339" s="81">
        <v>1977</v>
      </c>
      <c r="D339" s="79"/>
      <c r="E339" s="79"/>
      <c r="F339" s="90">
        <v>5514.2</v>
      </c>
      <c r="G339" s="90">
        <v>5013.8999999999996</v>
      </c>
      <c r="H339" s="1">
        <f>I339+J339+K339+L339+M339+N339+O339</f>
        <v>11232785.15</v>
      </c>
      <c r="I339" s="1">
        <v>0</v>
      </c>
      <c r="J339" s="1">
        <v>0</v>
      </c>
      <c r="K339" s="1">
        <f>11066783.4*1.015</f>
        <v>11232785.15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0</v>
      </c>
      <c r="S339" s="13">
        <f>H339</f>
        <v>11232785.15</v>
      </c>
      <c r="T339" s="79">
        <v>2018</v>
      </c>
      <c r="U339" s="79">
        <v>2020</v>
      </c>
    </row>
    <row r="340" spans="1:21" ht="15.75">
      <c r="A340" s="301" t="s">
        <v>40</v>
      </c>
      <c r="B340" s="303"/>
      <c r="C340" s="83"/>
      <c r="D340" s="116"/>
      <c r="E340" s="116"/>
      <c r="F340" s="14">
        <f t="shared" ref="F340:S340" si="61">SUM(F338:F339)</f>
        <v>9950.5</v>
      </c>
      <c r="G340" s="27">
        <f t="shared" si="61"/>
        <v>8857.9</v>
      </c>
      <c r="H340" s="27">
        <f t="shared" si="61"/>
        <v>14270586.810000001</v>
      </c>
      <c r="I340" s="27">
        <f t="shared" si="61"/>
        <v>0</v>
      </c>
      <c r="J340" s="27">
        <f t="shared" si="61"/>
        <v>2961856.62</v>
      </c>
      <c r="K340" s="27">
        <f t="shared" si="61"/>
        <v>11232785.15</v>
      </c>
      <c r="L340" s="15">
        <f t="shared" si="61"/>
        <v>0</v>
      </c>
      <c r="M340" s="15">
        <f t="shared" si="61"/>
        <v>0</v>
      </c>
      <c r="N340" s="15">
        <f t="shared" si="61"/>
        <v>0</v>
      </c>
      <c r="O340" s="27">
        <f t="shared" si="61"/>
        <v>75945.039999999994</v>
      </c>
      <c r="P340" s="15">
        <f t="shared" si="61"/>
        <v>0</v>
      </c>
      <c r="Q340" s="15">
        <f t="shared" si="61"/>
        <v>0</v>
      </c>
      <c r="R340" s="15">
        <f t="shared" si="61"/>
        <v>0</v>
      </c>
      <c r="S340" s="27">
        <f t="shared" si="61"/>
        <v>14270586.810000001</v>
      </c>
      <c r="T340" s="16" t="s">
        <v>31</v>
      </c>
      <c r="U340" s="16" t="s">
        <v>31</v>
      </c>
    </row>
    <row r="341" spans="1:21" ht="15.75" customHeight="1">
      <c r="A341" s="298" t="s">
        <v>341</v>
      </c>
      <c r="B341" s="299"/>
      <c r="C341" s="299"/>
      <c r="D341" s="299"/>
      <c r="E341" s="299"/>
      <c r="F341" s="299"/>
      <c r="G341" s="299"/>
      <c r="H341" s="299"/>
      <c r="I341" s="299"/>
      <c r="J341" s="299"/>
      <c r="K341" s="299"/>
      <c r="L341" s="299"/>
      <c r="M341" s="299"/>
      <c r="N341" s="299"/>
      <c r="O341" s="299"/>
      <c r="P341" s="299"/>
      <c r="Q341" s="299"/>
      <c r="R341" s="299"/>
      <c r="S341" s="299"/>
      <c r="T341" s="299"/>
      <c r="U341" s="300"/>
    </row>
    <row r="342" spans="1:21" ht="15.75">
      <c r="A342" s="79">
        <f>A339+1</f>
        <v>281</v>
      </c>
      <c r="B342" s="186" t="s">
        <v>342</v>
      </c>
      <c r="C342" s="81">
        <v>1975</v>
      </c>
      <c r="D342" s="79"/>
      <c r="E342" s="79"/>
      <c r="F342" s="33">
        <v>2790.7</v>
      </c>
      <c r="G342" s="33">
        <v>2020.2</v>
      </c>
      <c r="H342" s="1">
        <f>I342+J342+K342+L342+M342+N342+O342</f>
        <v>5659736.8600000003</v>
      </c>
      <c r="I342" s="1">
        <v>0</v>
      </c>
      <c r="J342" s="1">
        <v>0</v>
      </c>
      <c r="K342" s="1">
        <f>ROUND(G342*2760.17*1.015,2)-0.01</f>
        <v>5659736.8600000003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3">
        <f>H342</f>
        <v>5659736.8600000003</v>
      </c>
      <c r="T342" s="79">
        <v>2018</v>
      </c>
      <c r="U342" s="79">
        <v>2020</v>
      </c>
    </row>
    <row r="343" spans="1:21" ht="15.75">
      <c r="A343" s="301" t="s">
        <v>40</v>
      </c>
      <c r="B343" s="303"/>
      <c r="C343" s="83"/>
      <c r="D343" s="116"/>
      <c r="E343" s="116"/>
      <c r="F343" s="14">
        <f t="shared" ref="F343:S343" si="62">SUM(F342:F342)</f>
        <v>2790.7</v>
      </c>
      <c r="G343" s="14">
        <f t="shared" si="62"/>
        <v>2020.2</v>
      </c>
      <c r="H343" s="27">
        <f t="shared" si="62"/>
        <v>5659736.8600000003</v>
      </c>
      <c r="I343" s="27">
        <f t="shared" si="62"/>
        <v>0</v>
      </c>
      <c r="J343" s="27">
        <f t="shared" si="62"/>
        <v>0</v>
      </c>
      <c r="K343" s="27">
        <f t="shared" si="62"/>
        <v>5659736.8600000003</v>
      </c>
      <c r="L343" s="15">
        <f t="shared" si="62"/>
        <v>0</v>
      </c>
      <c r="M343" s="27">
        <f t="shared" si="62"/>
        <v>0</v>
      </c>
      <c r="N343" s="27">
        <f t="shared" si="62"/>
        <v>0</v>
      </c>
      <c r="O343" s="27">
        <f t="shared" si="62"/>
        <v>0</v>
      </c>
      <c r="P343" s="27">
        <f t="shared" si="62"/>
        <v>0</v>
      </c>
      <c r="Q343" s="27">
        <f t="shared" si="62"/>
        <v>0</v>
      </c>
      <c r="R343" s="27">
        <f t="shared" si="62"/>
        <v>0</v>
      </c>
      <c r="S343" s="27">
        <f t="shared" si="62"/>
        <v>5659736.8600000003</v>
      </c>
      <c r="T343" s="16" t="s">
        <v>31</v>
      </c>
      <c r="U343" s="16" t="s">
        <v>31</v>
      </c>
    </row>
    <row r="344" spans="1:21" ht="15.75">
      <c r="A344" s="301" t="s">
        <v>795</v>
      </c>
      <c r="B344" s="303"/>
      <c r="C344" s="83"/>
      <c r="D344" s="116"/>
      <c r="E344" s="116"/>
      <c r="F344" s="35">
        <f t="shared" ref="F344:S344" si="63">F343+F340+F336+F332+F326+F320+F317</f>
        <v>39862.699999999997</v>
      </c>
      <c r="G344" s="27">
        <f t="shared" si="63"/>
        <v>34674.1</v>
      </c>
      <c r="H344" s="27">
        <f t="shared" si="63"/>
        <v>68136878.290000007</v>
      </c>
      <c r="I344" s="27">
        <f t="shared" si="63"/>
        <v>13257490.960000001</v>
      </c>
      <c r="J344" s="27">
        <f t="shared" si="63"/>
        <v>8885569.8599999994</v>
      </c>
      <c r="K344" s="27">
        <f t="shared" si="63"/>
        <v>39025857.880000003</v>
      </c>
      <c r="L344" s="15">
        <f t="shared" si="63"/>
        <v>0</v>
      </c>
      <c r="M344" s="15">
        <f t="shared" si="63"/>
        <v>4992109.4400000004</v>
      </c>
      <c r="N344" s="15">
        <f t="shared" si="63"/>
        <v>556625.37</v>
      </c>
      <c r="O344" s="27">
        <f t="shared" si="63"/>
        <v>1419224.78</v>
      </c>
      <c r="P344" s="15">
        <f t="shared" si="63"/>
        <v>0</v>
      </c>
      <c r="Q344" s="15">
        <f t="shared" si="63"/>
        <v>0</v>
      </c>
      <c r="R344" s="15">
        <f t="shared" si="63"/>
        <v>0</v>
      </c>
      <c r="S344" s="27">
        <f t="shared" si="63"/>
        <v>68136878.290000007</v>
      </c>
      <c r="T344" s="16" t="s">
        <v>31</v>
      </c>
      <c r="U344" s="16" t="s">
        <v>31</v>
      </c>
    </row>
    <row r="345" spans="1:21" ht="15.75">
      <c r="A345" s="298" t="s">
        <v>796</v>
      </c>
      <c r="B345" s="299"/>
      <c r="C345" s="299"/>
      <c r="D345" s="299"/>
      <c r="E345" s="299"/>
      <c r="F345" s="299"/>
      <c r="G345" s="299"/>
      <c r="H345" s="299"/>
      <c r="I345" s="299"/>
      <c r="J345" s="299"/>
      <c r="K345" s="299"/>
      <c r="L345" s="299"/>
      <c r="M345" s="299"/>
      <c r="N345" s="299"/>
      <c r="O345" s="299"/>
      <c r="P345" s="299"/>
      <c r="Q345" s="299"/>
      <c r="R345" s="299"/>
      <c r="S345" s="299"/>
      <c r="T345" s="299"/>
      <c r="U345" s="300"/>
    </row>
    <row r="346" spans="1:21" ht="15.75">
      <c r="A346" s="298" t="s">
        <v>343</v>
      </c>
      <c r="B346" s="299"/>
      <c r="C346" s="299"/>
      <c r="D346" s="299"/>
      <c r="E346" s="299"/>
      <c r="F346" s="299"/>
      <c r="G346" s="299"/>
      <c r="H346" s="299"/>
      <c r="I346" s="299"/>
      <c r="J346" s="299"/>
      <c r="K346" s="299"/>
      <c r="L346" s="299"/>
      <c r="M346" s="299"/>
      <c r="N346" s="299"/>
      <c r="O346" s="299"/>
      <c r="P346" s="299"/>
      <c r="Q346" s="299"/>
      <c r="R346" s="299"/>
      <c r="S346" s="299"/>
      <c r="T346" s="299"/>
      <c r="U346" s="300"/>
    </row>
    <row r="347" spans="1:21" ht="15.75">
      <c r="A347" s="79">
        <f>A342+1</f>
        <v>282</v>
      </c>
      <c r="B347" s="255" t="s">
        <v>344</v>
      </c>
      <c r="C347" s="95">
        <v>1983</v>
      </c>
      <c r="D347" s="89"/>
      <c r="E347" s="89"/>
      <c r="F347" s="124">
        <v>4378.7</v>
      </c>
      <c r="G347" s="124">
        <v>3784.5</v>
      </c>
      <c r="H347" s="1">
        <f>I347+J347+K347+L347+M347+N347+O347</f>
        <v>6075603.3200000003</v>
      </c>
      <c r="I347" s="1">
        <v>0</v>
      </c>
      <c r="J347" s="1">
        <f>ROUND(2*3037801.66,2)-O347</f>
        <v>5923713.2400000002</v>
      </c>
      <c r="K347" s="1">
        <v>0</v>
      </c>
      <c r="L347" s="1">
        <v>0</v>
      </c>
      <c r="M347" s="1">
        <v>0</v>
      </c>
      <c r="N347" s="1">
        <v>0</v>
      </c>
      <c r="O347" s="1">
        <v>151890.07999999999</v>
      </c>
      <c r="P347" s="1">
        <v>0</v>
      </c>
      <c r="Q347" s="1">
        <v>0</v>
      </c>
      <c r="R347" s="1">
        <v>0</v>
      </c>
      <c r="S347" s="13">
        <f>H347</f>
        <v>6075603.3200000003</v>
      </c>
      <c r="T347" s="79">
        <v>2020</v>
      </c>
      <c r="U347" s="79">
        <v>2020</v>
      </c>
    </row>
    <row r="348" spans="1:21" ht="15.75">
      <c r="A348" s="301" t="s">
        <v>40</v>
      </c>
      <c r="B348" s="303"/>
      <c r="C348" s="81"/>
      <c r="D348" s="116"/>
      <c r="E348" s="116"/>
      <c r="F348" s="35">
        <f t="shared" ref="F348:S348" si="64">SUM(F347:F347)</f>
        <v>4378.7</v>
      </c>
      <c r="G348" s="27">
        <f t="shared" si="64"/>
        <v>3784.5</v>
      </c>
      <c r="H348" s="27">
        <f t="shared" si="64"/>
        <v>6075603.3200000003</v>
      </c>
      <c r="I348" s="15">
        <f t="shared" si="64"/>
        <v>0</v>
      </c>
      <c r="J348" s="15">
        <f t="shared" si="64"/>
        <v>5923713.2400000002</v>
      </c>
      <c r="K348" s="15">
        <f t="shared" si="64"/>
        <v>0</v>
      </c>
      <c r="L348" s="15">
        <f t="shared" si="64"/>
        <v>0</v>
      </c>
      <c r="M348" s="15">
        <f t="shared" si="64"/>
        <v>0</v>
      </c>
      <c r="N348" s="15">
        <f t="shared" si="64"/>
        <v>0</v>
      </c>
      <c r="O348" s="15">
        <f t="shared" si="64"/>
        <v>151890.07999999999</v>
      </c>
      <c r="P348" s="15">
        <f t="shared" si="64"/>
        <v>0</v>
      </c>
      <c r="Q348" s="15">
        <f t="shared" si="64"/>
        <v>0</v>
      </c>
      <c r="R348" s="15">
        <f t="shared" si="64"/>
        <v>0</v>
      </c>
      <c r="S348" s="27">
        <f t="shared" si="64"/>
        <v>6075603.3200000003</v>
      </c>
      <c r="T348" s="16" t="s">
        <v>31</v>
      </c>
      <c r="U348" s="16" t="s">
        <v>31</v>
      </c>
    </row>
    <row r="349" spans="1:21" ht="15.75">
      <c r="A349" s="301" t="s">
        <v>797</v>
      </c>
      <c r="B349" s="303"/>
      <c r="C349" s="83"/>
      <c r="D349" s="116"/>
      <c r="E349" s="116"/>
      <c r="F349" s="35">
        <f t="shared" ref="F349:S349" si="65">F348</f>
        <v>4378.7</v>
      </c>
      <c r="G349" s="27">
        <f t="shared" si="65"/>
        <v>3784.5</v>
      </c>
      <c r="H349" s="27">
        <f t="shared" si="65"/>
        <v>6075603.3200000003</v>
      </c>
      <c r="I349" s="15">
        <f t="shared" si="65"/>
        <v>0</v>
      </c>
      <c r="J349" s="15">
        <f t="shared" si="65"/>
        <v>5923713.2400000002</v>
      </c>
      <c r="K349" s="15">
        <f t="shared" si="65"/>
        <v>0</v>
      </c>
      <c r="L349" s="15">
        <f t="shared" si="65"/>
        <v>0</v>
      </c>
      <c r="M349" s="15">
        <f t="shared" si="65"/>
        <v>0</v>
      </c>
      <c r="N349" s="15">
        <f t="shared" si="65"/>
        <v>0</v>
      </c>
      <c r="O349" s="15">
        <f t="shared" si="65"/>
        <v>151890.07999999999</v>
      </c>
      <c r="P349" s="15">
        <f t="shared" si="65"/>
        <v>0</v>
      </c>
      <c r="Q349" s="15">
        <f t="shared" si="65"/>
        <v>0</v>
      </c>
      <c r="R349" s="15">
        <f t="shared" si="65"/>
        <v>0</v>
      </c>
      <c r="S349" s="27">
        <f t="shared" si="65"/>
        <v>6075603.3200000003</v>
      </c>
      <c r="T349" s="16" t="s">
        <v>31</v>
      </c>
      <c r="U349" s="16" t="s">
        <v>31</v>
      </c>
    </row>
    <row r="350" spans="1:21" ht="15.75">
      <c r="A350" s="298" t="s">
        <v>798</v>
      </c>
      <c r="B350" s="299"/>
      <c r="C350" s="299"/>
      <c r="D350" s="299"/>
      <c r="E350" s="299"/>
      <c r="F350" s="299"/>
      <c r="G350" s="299"/>
      <c r="H350" s="299"/>
      <c r="I350" s="299"/>
      <c r="J350" s="299"/>
      <c r="K350" s="299"/>
      <c r="L350" s="299"/>
      <c r="M350" s="299"/>
      <c r="N350" s="299"/>
      <c r="O350" s="299"/>
      <c r="P350" s="299"/>
      <c r="Q350" s="299"/>
      <c r="R350" s="299"/>
      <c r="S350" s="299"/>
      <c r="T350" s="299"/>
      <c r="U350" s="300"/>
    </row>
    <row r="351" spans="1:21" ht="15.75">
      <c r="A351" s="298" t="s">
        <v>345</v>
      </c>
      <c r="B351" s="299"/>
      <c r="C351" s="299"/>
      <c r="D351" s="299"/>
      <c r="E351" s="299"/>
      <c r="F351" s="299"/>
      <c r="G351" s="299"/>
      <c r="H351" s="299"/>
      <c r="I351" s="299"/>
      <c r="J351" s="299"/>
      <c r="K351" s="299"/>
      <c r="L351" s="299"/>
      <c r="M351" s="299"/>
      <c r="N351" s="299"/>
      <c r="O351" s="299"/>
      <c r="P351" s="299"/>
      <c r="Q351" s="299"/>
      <c r="R351" s="299"/>
      <c r="S351" s="299"/>
      <c r="T351" s="299"/>
      <c r="U351" s="300"/>
    </row>
    <row r="352" spans="1:21" ht="15.75">
      <c r="A352" s="79">
        <f>A347+1</f>
        <v>283</v>
      </c>
      <c r="B352" s="186" t="s">
        <v>346</v>
      </c>
      <c r="C352" s="105" t="s">
        <v>347</v>
      </c>
      <c r="D352" s="79"/>
      <c r="E352" s="79"/>
      <c r="F352" s="12">
        <v>422.4</v>
      </c>
      <c r="G352" s="12">
        <v>381.4</v>
      </c>
      <c r="H352" s="1">
        <f t="shared" ref="H352:H361" si="66">I352+J352+K352+L352+M352+N352+O352</f>
        <v>472186.36</v>
      </c>
      <c r="I352" s="1">
        <v>0</v>
      </c>
      <c r="J352" s="1">
        <v>0</v>
      </c>
      <c r="K352" s="1">
        <f>ROUND(1151.66*G352*1.015,2)</f>
        <v>445831.77</v>
      </c>
      <c r="L352" s="1">
        <v>0</v>
      </c>
      <c r="M352" s="1">
        <v>0</v>
      </c>
      <c r="N352" s="1">
        <v>0</v>
      </c>
      <c r="O352" s="1">
        <v>26354.59</v>
      </c>
      <c r="P352" s="1">
        <v>0</v>
      </c>
      <c r="Q352" s="1">
        <v>0</v>
      </c>
      <c r="R352" s="1">
        <v>0</v>
      </c>
      <c r="S352" s="13">
        <f t="shared" ref="S352:S361" si="67">H352</f>
        <v>472186.36</v>
      </c>
      <c r="T352" s="79">
        <v>2020</v>
      </c>
      <c r="U352" s="79">
        <v>2020</v>
      </c>
    </row>
    <row r="353" spans="1:21" ht="15.75">
      <c r="A353" s="79">
        <f t="shared" ref="A353:A361" si="68">A352+1</f>
        <v>284</v>
      </c>
      <c r="B353" s="186" t="s">
        <v>348</v>
      </c>
      <c r="C353" s="105">
        <v>1958</v>
      </c>
      <c r="D353" s="79"/>
      <c r="E353" s="79"/>
      <c r="F353" s="12">
        <v>1711.5</v>
      </c>
      <c r="G353" s="12">
        <v>1155.3</v>
      </c>
      <c r="H353" s="1">
        <f t="shared" si="66"/>
        <v>1971917.22</v>
      </c>
      <c r="I353" s="1">
        <f>ROUND((690.32+991.3)*G353*1.015,2)</f>
        <v>1971917.22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3">
        <f t="shared" si="67"/>
        <v>1971917.22</v>
      </c>
      <c r="T353" s="79">
        <v>2018</v>
      </c>
      <c r="U353" s="79">
        <v>2020</v>
      </c>
    </row>
    <row r="354" spans="1:21" ht="15.75">
      <c r="A354" s="79">
        <f t="shared" si="68"/>
        <v>285</v>
      </c>
      <c r="B354" s="186" t="s">
        <v>349</v>
      </c>
      <c r="C354" s="105">
        <v>1959</v>
      </c>
      <c r="D354" s="79"/>
      <c r="E354" s="79"/>
      <c r="F354" s="12">
        <v>1302</v>
      </c>
      <c r="G354" s="12">
        <v>1154.4000000000001</v>
      </c>
      <c r="H354" s="1">
        <f t="shared" si="66"/>
        <v>1429187.03</v>
      </c>
      <c r="I354" s="1">
        <v>0</v>
      </c>
      <c r="J354" s="1">
        <v>0</v>
      </c>
      <c r="K354" s="1">
        <f>ROUND(1151.66*G354*1.015,2)</f>
        <v>1349418.45</v>
      </c>
      <c r="L354" s="1">
        <v>0</v>
      </c>
      <c r="M354" s="1">
        <v>0</v>
      </c>
      <c r="N354" s="1">
        <v>0</v>
      </c>
      <c r="O354" s="1">
        <v>79768.58</v>
      </c>
      <c r="P354" s="1">
        <v>0</v>
      </c>
      <c r="Q354" s="1">
        <v>0</v>
      </c>
      <c r="R354" s="1">
        <v>0</v>
      </c>
      <c r="S354" s="13">
        <f t="shared" si="67"/>
        <v>1429187.03</v>
      </c>
      <c r="T354" s="79">
        <v>2020</v>
      </c>
      <c r="U354" s="79">
        <v>2020</v>
      </c>
    </row>
    <row r="355" spans="1:21" ht="15.75">
      <c r="A355" s="79">
        <f t="shared" si="68"/>
        <v>286</v>
      </c>
      <c r="B355" s="186" t="s">
        <v>350</v>
      </c>
      <c r="C355" s="125" t="s">
        <v>351</v>
      </c>
      <c r="D355" s="79"/>
      <c r="E355" s="79"/>
      <c r="F355" s="12">
        <v>2829.1</v>
      </c>
      <c r="G355" s="12">
        <v>2384.8000000000002</v>
      </c>
      <c r="H355" s="1">
        <f t="shared" si="66"/>
        <v>2823871.49</v>
      </c>
      <c r="I355" s="1">
        <v>0</v>
      </c>
      <c r="J355" s="1">
        <v>0</v>
      </c>
      <c r="K355" s="1">
        <v>0</v>
      </c>
      <c r="L355" s="1">
        <v>0</v>
      </c>
      <c r="M355" s="1">
        <f>ROUND(1101.5*G355*1.015,2)</f>
        <v>2666260.06</v>
      </c>
      <c r="N355" s="1">
        <v>0</v>
      </c>
      <c r="O355" s="1">
        <v>157611.43</v>
      </c>
      <c r="P355" s="1">
        <v>0</v>
      </c>
      <c r="Q355" s="1">
        <v>0</v>
      </c>
      <c r="R355" s="1">
        <v>0</v>
      </c>
      <c r="S355" s="13">
        <f t="shared" si="67"/>
        <v>2823871.49</v>
      </c>
      <c r="T355" s="79">
        <v>2020</v>
      </c>
      <c r="U355" s="79">
        <v>2020</v>
      </c>
    </row>
    <row r="356" spans="1:21" ht="15.75">
      <c r="A356" s="79">
        <f t="shared" si="68"/>
        <v>287</v>
      </c>
      <c r="B356" s="186" t="s">
        <v>352</v>
      </c>
      <c r="C356" s="105">
        <v>1958</v>
      </c>
      <c r="D356" s="79"/>
      <c r="E356" s="79"/>
      <c r="F356" s="12">
        <v>2792.1</v>
      </c>
      <c r="G356" s="12">
        <v>1881.9</v>
      </c>
      <c r="H356" s="1">
        <f t="shared" si="66"/>
        <v>2329857.13</v>
      </c>
      <c r="I356" s="1">
        <v>0</v>
      </c>
      <c r="J356" s="1">
        <v>0</v>
      </c>
      <c r="K356" s="1">
        <f>ROUND(1151.66*G356*1.015,2)</f>
        <v>2199818.59</v>
      </c>
      <c r="L356" s="1">
        <v>0</v>
      </c>
      <c r="M356" s="1">
        <v>0</v>
      </c>
      <c r="N356" s="1">
        <v>0</v>
      </c>
      <c r="O356" s="1">
        <v>130038.54</v>
      </c>
      <c r="P356" s="1">
        <v>0</v>
      </c>
      <c r="Q356" s="1">
        <v>0</v>
      </c>
      <c r="R356" s="1">
        <v>0</v>
      </c>
      <c r="S356" s="13">
        <f t="shared" si="67"/>
        <v>2329857.13</v>
      </c>
      <c r="T356" s="79">
        <v>2020</v>
      </c>
      <c r="U356" s="79">
        <v>2020</v>
      </c>
    </row>
    <row r="357" spans="1:21" ht="15.75">
      <c r="A357" s="79">
        <f t="shared" si="68"/>
        <v>288</v>
      </c>
      <c r="B357" s="186" t="s">
        <v>353</v>
      </c>
      <c r="C357" s="105">
        <v>1963</v>
      </c>
      <c r="D357" s="79"/>
      <c r="E357" s="79"/>
      <c r="F357" s="12">
        <v>1983.1</v>
      </c>
      <c r="G357" s="12">
        <v>1632.8</v>
      </c>
      <c r="H357" s="1">
        <f t="shared" si="66"/>
        <v>1642873.56</v>
      </c>
      <c r="I357" s="1">
        <f>ROUND(991.3*G357*1.015,2)</f>
        <v>1642873.56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3">
        <f t="shared" si="67"/>
        <v>1642873.56</v>
      </c>
      <c r="T357" s="79">
        <v>2018</v>
      </c>
      <c r="U357" s="79">
        <v>2020</v>
      </c>
    </row>
    <row r="358" spans="1:21" ht="15.75">
      <c r="A358" s="79">
        <f t="shared" si="68"/>
        <v>289</v>
      </c>
      <c r="B358" s="186" t="s">
        <v>354</v>
      </c>
      <c r="C358" s="81">
        <v>1960</v>
      </c>
      <c r="D358" s="79"/>
      <c r="E358" s="79"/>
      <c r="F358" s="12">
        <v>1375.6</v>
      </c>
      <c r="G358" s="12">
        <v>1119.2</v>
      </c>
      <c r="H358" s="1">
        <f t="shared" si="66"/>
        <v>830551.61</v>
      </c>
      <c r="I358" s="1">
        <f>ROUND(690.32*G358*1.015,2)</f>
        <v>784195.24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46356.37</v>
      </c>
      <c r="P358" s="1">
        <v>0</v>
      </c>
      <c r="Q358" s="1">
        <v>0</v>
      </c>
      <c r="R358" s="1">
        <v>0</v>
      </c>
      <c r="S358" s="13">
        <f t="shared" si="67"/>
        <v>830551.61</v>
      </c>
      <c r="T358" s="79">
        <v>2020</v>
      </c>
      <c r="U358" s="79">
        <v>2020</v>
      </c>
    </row>
    <row r="359" spans="1:21" ht="15.75">
      <c r="A359" s="79">
        <f t="shared" si="68"/>
        <v>290</v>
      </c>
      <c r="B359" s="186" t="s">
        <v>355</v>
      </c>
      <c r="C359" s="81">
        <v>1960</v>
      </c>
      <c r="D359" s="79"/>
      <c r="E359" s="79"/>
      <c r="F359" s="12">
        <v>1723</v>
      </c>
      <c r="G359" s="12">
        <v>1473.4</v>
      </c>
      <c r="H359" s="1">
        <f t="shared" si="66"/>
        <v>1093401.3</v>
      </c>
      <c r="I359" s="1">
        <f>ROUND(690.32*G359*1.015,2)</f>
        <v>1032374.25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61027.05</v>
      </c>
      <c r="P359" s="1">
        <v>0</v>
      </c>
      <c r="Q359" s="1">
        <v>0</v>
      </c>
      <c r="R359" s="1">
        <v>0</v>
      </c>
      <c r="S359" s="13">
        <f t="shared" si="67"/>
        <v>1093401.3</v>
      </c>
      <c r="T359" s="79">
        <v>2020</v>
      </c>
      <c r="U359" s="79">
        <v>2020</v>
      </c>
    </row>
    <row r="360" spans="1:21" ht="15.75">
      <c r="A360" s="79">
        <f t="shared" si="68"/>
        <v>291</v>
      </c>
      <c r="B360" s="186" t="s">
        <v>356</v>
      </c>
      <c r="C360" s="36">
        <v>1967</v>
      </c>
      <c r="D360" s="79"/>
      <c r="E360" s="79"/>
      <c r="F360" s="12">
        <v>2985.6</v>
      </c>
      <c r="G360" s="12">
        <v>2685.8</v>
      </c>
      <c r="H360" s="1">
        <f t="shared" si="66"/>
        <v>1465618.23</v>
      </c>
      <c r="I360" s="1">
        <f>ROUND((214.38+293.24)*G360*1.015,2)</f>
        <v>1383816.28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81801.95</v>
      </c>
      <c r="P360" s="1">
        <v>0</v>
      </c>
      <c r="Q360" s="1">
        <v>0</v>
      </c>
      <c r="R360" s="1">
        <v>0</v>
      </c>
      <c r="S360" s="13">
        <f t="shared" si="67"/>
        <v>1465618.23</v>
      </c>
      <c r="T360" s="79">
        <v>2020</v>
      </c>
      <c r="U360" s="79">
        <v>2020</v>
      </c>
    </row>
    <row r="361" spans="1:21" ht="15.75">
      <c r="A361" s="79">
        <f t="shared" si="68"/>
        <v>292</v>
      </c>
      <c r="B361" s="186" t="s">
        <v>357</v>
      </c>
      <c r="C361" s="125" t="s">
        <v>358</v>
      </c>
      <c r="D361" s="79"/>
      <c r="E361" s="79"/>
      <c r="F361" s="12">
        <v>3035.7</v>
      </c>
      <c r="G361" s="12">
        <v>2732.9</v>
      </c>
      <c r="H361" s="1">
        <f t="shared" si="66"/>
        <v>1491320.3</v>
      </c>
      <c r="I361" s="1">
        <f>ROUND((214.38+293.24)*G361*1.015,2)</f>
        <v>1408083.82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83236.479999999996</v>
      </c>
      <c r="P361" s="1">
        <v>0</v>
      </c>
      <c r="Q361" s="1">
        <v>0</v>
      </c>
      <c r="R361" s="1">
        <v>0</v>
      </c>
      <c r="S361" s="13">
        <f t="shared" si="67"/>
        <v>1491320.3</v>
      </c>
      <c r="T361" s="79">
        <v>2020</v>
      </c>
      <c r="U361" s="79">
        <v>2020</v>
      </c>
    </row>
    <row r="362" spans="1:21" ht="15.75" customHeight="1">
      <c r="A362" s="301" t="s">
        <v>40</v>
      </c>
      <c r="B362" s="303"/>
      <c r="C362" s="81"/>
      <c r="D362" s="116"/>
      <c r="E362" s="116"/>
      <c r="F362" s="14">
        <f t="shared" ref="F362:S362" si="69">SUM(F352:F361)</f>
        <v>20160.099999999999</v>
      </c>
      <c r="G362" s="27">
        <f t="shared" si="69"/>
        <v>16601.900000000001</v>
      </c>
      <c r="H362" s="27">
        <f t="shared" si="69"/>
        <v>15550784.23</v>
      </c>
      <c r="I362" s="27">
        <f t="shared" si="69"/>
        <v>8223260.3700000001</v>
      </c>
      <c r="J362" s="15">
        <f t="shared" si="69"/>
        <v>0</v>
      </c>
      <c r="K362" s="15">
        <f t="shared" si="69"/>
        <v>3995068.81</v>
      </c>
      <c r="L362" s="15">
        <f t="shared" si="69"/>
        <v>0</v>
      </c>
      <c r="M362" s="15">
        <f t="shared" si="69"/>
        <v>2666260.06</v>
      </c>
      <c r="N362" s="15">
        <f t="shared" si="69"/>
        <v>0</v>
      </c>
      <c r="O362" s="15">
        <f t="shared" si="69"/>
        <v>666194.99</v>
      </c>
      <c r="P362" s="15">
        <f t="shared" si="69"/>
        <v>0</v>
      </c>
      <c r="Q362" s="15">
        <f t="shared" si="69"/>
        <v>0</v>
      </c>
      <c r="R362" s="15">
        <f t="shared" si="69"/>
        <v>0</v>
      </c>
      <c r="S362" s="27">
        <f t="shared" si="69"/>
        <v>15550784.23</v>
      </c>
      <c r="T362" s="16" t="s">
        <v>31</v>
      </c>
      <c r="U362" s="16" t="s">
        <v>31</v>
      </c>
    </row>
    <row r="363" spans="1:21" ht="15.75" customHeight="1">
      <c r="A363" s="298" t="s">
        <v>807</v>
      </c>
      <c r="B363" s="299"/>
      <c r="C363" s="299"/>
      <c r="D363" s="299"/>
      <c r="E363" s="299"/>
      <c r="F363" s="299"/>
      <c r="G363" s="299"/>
      <c r="H363" s="299"/>
      <c r="I363" s="299"/>
      <c r="J363" s="299"/>
      <c r="K363" s="299"/>
      <c r="L363" s="299"/>
      <c r="M363" s="299"/>
      <c r="N363" s="299"/>
      <c r="O363" s="299"/>
      <c r="P363" s="299"/>
      <c r="Q363" s="299"/>
      <c r="R363" s="299"/>
      <c r="S363" s="299"/>
      <c r="T363" s="299"/>
      <c r="U363" s="300"/>
    </row>
    <row r="364" spans="1:21" ht="15.75">
      <c r="A364" s="79">
        <f>A361+1</f>
        <v>293</v>
      </c>
      <c r="B364" s="186" t="s">
        <v>359</v>
      </c>
      <c r="C364" s="81">
        <v>1955</v>
      </c>
      <c r="D364" s="116"/>
      <c r="E364" s="116"/>
      <c r="F364" s="33">
        <v>411.9</v>
      </c>
      <c r="G364" s="33">
        <v>368.8</v>
      </c>
      <c r="H364" s="1">
        <f>I364+J364+K364+L364+M364+N364+O364</f>
        <v>4993156.92</v>
      </c>
      <c r="I364" s="1">
        <f>(415.06+457.07+713.8+3819.57+690.32)*G364*1.015</f>
        <v>2281860.4900000002</v>
      </c>
      <c r="J364" s="1">
        <v>0</v>
      </c>
      <c r="K364" s="1">
        <f>6183.99*G364*1.015</f>
        <v>2314865.34</v>
      </c>
      <c r="L364" s="1">
        <v>0</v>
      </c>
      <c r="M364" s="1">
        <v>0</v>
      </c>
      <c r="N364" s="1">
        <v>0</v>
      </c>
      <c r="O364" s="1">
        <f>104012.99+292418.1</f>
        <v>396431.09</v>
      </c>
      <c r="P364" s="1">
        <v>0</v>
      </c>
      <c r="Q364" s="1">
        <v>0</v>
      </c>
      <c r="R364" s="1">
        <v>0</v>
      </c>
      <c r="S364" s="1">
        <f>H364</f>
        <v>4993156.92</v>
      </c>
      <c r="T364" s="79">
        <v>2020</v>
      </c>
      <c r="U364" s="79">
        <v>2020</v>
      </c>
    </row>
    <row r="365" spans="1:21" ht="15.75">
      <c r="A365" s="79">
        <f>A364+1</f>
        <v>294</v>
      </c>
      <c r="B365" s="186" t="s">
        <v>360</v>
      </c>
      <c r="C365" s="81">
        <v>1952</v>
      </c>
      <c r="D365" s="116"/>
      <c r="E365" s="116"/>
      <c r="F365" s="33">
        <v>1697.7</v>
      </c>
      <c r="G365" s="33">
        <v>1398.2</v>
      </c>
      <c r="H365" s="1">
        <f>I365+J365+K365+L365+M365+N365+O365</f>
        <v>13728993.07</v>
      </c>
      <c r="I365" s="1">
        <v>0</v>
      </c>
      <c r="J365" s="1">
        <v>0</v>
      </c>
      <c r="K365" s="1">
        <f>5781.6*G365*1.015</f>
        <v>8205090.6200000001</v>
      </c>
      <c r="L365" s="1">
        <v>0</v>
      </c>
      <c r="M365" s="1">
        <f>3636.52*G365*1.015</f>
        <v>5160851</v>
      </c>
      <c r="N365" s="1">
        <v>0</v>
      </c>
      <c r="O365" s="1">
        <v>363051.45</v>
      </c>
      <c r="P365" s="1">
        <v>0</v>
      </c>
      <c r="Q365" s="1">
        <v>0</v>
      </c>
      <c r="R365" s="1">
        <v>0</v>
      </c>
      <c r="S365" s="1">
        <f>H365</f>
        <v>13728993.07</v>
      </c>
      <c r="T365" s="79">
        <v>2020</v>
      </c>
      <c r="U365" s="79">
        <v>2020</v>
      </c>
    </row>
    <row r="366" spans="1:21" ht="15.75">
      <c r="A366" s="79">
        <f>A365+1</f>
        <v>295</v>
      </c>
      <c r="B366" s="186" t="s">
        <v>361</v>
      </c>
      <c r="C366" s="81">
        <v>1959</v>
      </c>
      <c r="D366" s="116"/>
      <c r="E366" s="116"/>
      <c r="F366" s="33">
        <v>4926.3</v>
      </c>
      <c r="G366" s="33">
        <v>4080.8</v>
      </c>
      <c r="H366" s="1">
        <f>I366+J366+K366+L366+M366+N366+O366</f>
        <v>9726610.1099999994</v>
      </c>
      <c r="I366" s="1">
        <f>2238.6*G366*1.015</f>
        <v>9272308.0600000005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454302.05</v>
      </c>
      <c r="P366" s="1">
        <v>0</v>
      </c>
      <c r="Q366" s="1">
        <v>0</v>
      </c>
      <c r="R366" s="1">
        <v>0</v>
      </c>
      <c r="S366" s="1">
        <f>H366</f>
        <v>9726610.1099999994</v>
      </c>
      <c r="T366" s="79">
        <v>2020</v>
      </c>
      <c r="U366" s="79">
        <v>2020</v>
      </c>
    </row>
    <row r="367" spans="1:21" ht="15.75">
      <c r="A367" s="79">
        <f>A366+1</f>
        <v>296</v>
      </c>
      <c r="B367" s="186" t="s">
        <v>362</v>
      </c>
      <c r="C367" s="81">
        <v>1965</v>
      </c>
      <c r="D367" s="116"/>
      <c r="E367" s="116"/>
      <c r="F367" s="33">
        <v>3279.6</v>
      </c>
      <c r="G367" s="33">
        <v>2548.4</v>
      </c>
      <c r="H367" s="1">
        <f>I367+J367+K367+L367+M367+N367+O367</f>
        <v>3116478.67</v>
      </c>
      <c r="I367" s="1">
        <v>0</v>
      </c>
      <c r="J367" s="1">
        <v>0</v>
      </c>
      <c r="K367" s="1">
        <v>0</v>
      </c>
      <c r="L367" s="1">
        <v>0</v>
      </c>
      <c r="M367" s="1">
        <f>1101.5*G367*1.015</f>
        <v>2849168.54</v>
      </c>
      <c r="N367" s="1">
        <v>0</v>
      </c>
      <c r="O367" s="1">
        <v>267310.13</v>
      </c>
      <c r="P367" s="1">
        <v>0</v>
      </c>
      <c r="Q367" s="1">
        <v>0</v>
      </c>
      <c r="R367" s="1">
        <v>0</v>
      </c>
      <c r="S367" s="1">
        <f>H367</f>
        <v>3116478.67</v>
      </c>
      <c r="T367" s="79">
        <v>2020</v>
      </c>
      <c r="U367" s="79">
        <v>2020</v>
      </c>
    </row>
    <row r="368" spans="1:21" ht="15.75">
      <c r="A368" s="79">
        <f>A367+1</f>
        <v>297</v>
      </c>
      <c r="B368" s="186" t="s">
        <v>363</v>
      </c>
      <c r="C368" s="81">
        <v>1954</v>
      </c>
      <c r="D368" s="116"/>
      <c r="E368" s="116"/>
      <c r="F368" s="33">
        <v>3738.9</v>
      </c>
      <c r="G368" s="33">
        <v>2757.6</v>
      </c>
      <c r="H368" s="1">
        <f>I368+J368+K368+L368+M368+N368+O368</f>
        <v>11641721.33</v>
      </c>
      <c r="I368" s="1">
        <v>0</v>
      </c>
      <c r="J368" s="1">
        <v>0</v>
      </c>
      <c r="K368" s="1">
        <v>0</v>
      </c>
      <c r="L368" s="1">
        <v>0</v>
      </c>
      <c r="M368" s="1">
        <f>2647.87*G368*1.015</f>
        <v>7411292.8099999996</v>
      </c>
      <c r="N368" s="1">
        <f>1441.25*G368*1.015</f>
        <v>4034006.87</v>
      </c>
      <c r="O368" s="1">
        <v>196421.65</v>
      </c>
      <c r="P368" s="1">
        <v>0</v>
      </c>
      <c r="Q368" s="1">
        <v>0</v>
      </c>
      <c r="R368" s="1">
        <v>0</v>
      </c>
      <c r="S368" s="1">
        <f>H368</f>
        <v>11641721.33</v>
      </c>
      <c r="T368" s="79">
        <v>2020</v>
      </c>
      <c r="U368" s="79">
        <v>2020</v>
      </c>
    </row>
    <row r="369" spans="1:21" ht="15.75">
      <c r="A369" s="301" t="s">
        <v>40</v>
      </c>
      <c r="B369" s="303"/>
      <c r="C369" s="81"/>
      <c r="D369" s="116"/>
      <c r="E369" s="116"/>
      <c r="F369" s="14">
        <f t="shared" ref="F369:S369" si="70">SUM(F364:F368)</f>
        <v>14054.4</v>
      </c>
      <c r="G369" s="27">
        <f t="shared" si="70"/>
        <v>11153.8</v>
      </c>
      <c r="H369" s="15">
        <f t="shared" si="70"/>
        <v>43206960.100000001</v>
      </c>
      <c r="I369" s="15">
        <f t="shared" si="70"/>
        <v>11554168.550000001</v>
      </c>
      <c r="J369" s="15">
        <f t="shared" si="70"/>
        <v>0</v>
      </c>
      <c r="K369" s="15">
        <f t="shared" si="70"/>
        <v>10519955.960000001</v>
      </c>
      <c r="L369" s="15">
        <f t="shared" si="70"/>
        <v>0</v>
      </c>
      <c r="M369" s="15">
        <f t="shared" si="70"/>
        <v>15421312.35</v>
      </c>
      <c r="N369" s="15">
        <f t="shared" si="70"/>
        <v>4034006.87</v>
      </c>
      <c r="O369" s="15">
        <f t="shared" si="70"/>
        <v>1677516.37</v>
      </c>
      <c r="P369" s="15">
        <f t="shared" si="70"/>
        <v>0</v>
      </c>
      <c r="Q369" s="15">
        <f t="shared" si="70"/>
        <v>0</v>
      </c>
      <c r="R369" s="15">
        <f t="shared" si="70"/>
        <v>0</v>
      </c>
      <c r="S369" s="15">
        <f t="shared" si="70"/>
        <v>43206960.100000001</v>
      </c>
      <c r="T369" s="16" t="s">
        <v>364</v>
      </c>
      <c r="U369" s="16" t="s">
        <v>364</v>
      </c>
    </row>
    <row r="370" spans="1:21" ht="15.75">
      <c r="A370" s="298" t="s">
        <v>799</v>
      </c>
      <c r="B370" s="299"/>
      <c r="C370" s="299"/>
      <c r="D370" s="299"/>
      <c r="E370" s="299"/>
      <c r="F370" s="299"/>
      <c r="G370" s="299"/>
      <c r="H370" s="299"/>
      <c r="I370" s="299"/>
      <c r="J370" s="299"/>
      <c r="K370" s="299"/>
      <c r="L370" s="299"/>
      <c r="M370" s="299"/>
      <c r="N370" s="299"/>
      <c r="O370" s="299"/>
      <c r="P370" s="299"/>
      <c r="Q370" s="299"/>
      <c r="R370" s="299"/>
      <c r="S370" s="299"/>
      <c r="T370" s="299"/>
      <c r="U370" s="300"/>
    </row>
    <row r="371" spans="1:21" ht="15.75">
      <c r="A371" s="79">
        <f>A368+1</f>
        <v>298</v>
      </c>
      <c r="B371" s="186" t="s">
        <v>365</v>
      </c>
      <c r="C371" s="81">
        <v>1976</v>
      </c>
      <c r="D371" s="116"/>
      <c r="E371" s="116"/>
      <c r="F371" s="33">
        <v>3961.4</v>
      </c>
      <c r="G371" s="33">
        <f>3337+79.3</f>
        <v>3416.3</v>
      </c>
      <c r="H371" s="13">
        <f>K371</f>
        <v>3769458.5</v>
      </c>
      <c r="I371" s="1">
        <v>0</v>
      </c>
      <c r="J371" s="1">
        <v>0</v>
      </c>
      <c r="K371" s="13">
        <v>3769458.5</v>
      </c>
      <c r="L371" s="1">
        <v>0</v>
      </c>
      <c r="M371" s="1">
        <v>0</v>
      </c>
      <c r="N371" s="13"/>
      <c r="O371" s="13" t="s">
        <v>59</v>
      </c>
      <c r="P371" s="13"/>
      <c r="Q371" s="15"/>
      <c r="R371" s="15"/>
      <c r="S371" s="13">
        <v>3769458.5</v>
      </c>
      <c r="T371" s="79">
        <v>2020</v>
      </c>
      <c r="U371" s="79">
        <v>2020</v>
      </c>
    </row>
    <row r="372" spans="1:21" ht="15.75">
      <c r="A372" s="79">
        <f>A371+1</f>
        <v>299</v>
      </c>
      <c r="B372" s="186" t="s">
        <v>366</v>
      </c>
      <c r="C372" s="81">
        <v>1991</v>
      </c>
      <c r="D372" s="116"/>
      <c r="E372" s="116"/>
      <c r="F372" s="33">
        <v>3728.2</v>
      </c>
      <c r="G372" s="33">
        <f>3360+145.5</f>
        <v>3505.5</v>
      </c>
      <c r="H372" s="13">
        <f>K372</f>
        <v>3631886.3</v>
      </c>
      <c r="I372" s="1">
        <v>0</v>
      </c>
      <c r="J372" s="1">
        <v>0</v>
      </c>
      <c r="K372" s="13">
        <v>3631886.3</v>
      </c>
      <c r="L372" s="1">
        <v>0</v>
      </c>
      <c r="M372" s="1">
        <v>0</v>
      </c>
      <c r="N372" s="13"/>
      <c r="O372" s="13" t="s">
        <v>59</v>
      </c>
      <c r="P372" s="13"/>
      <c r="Q372" s="15"/>
      <c r="R372" s="15"/>
      <c r="S372" s="13">
        <v>3631886.3</v>
      </c>
      <c r="T372" s="79">
        <v>2020</v>
      </c>
      <c r="U372" s="79">
        <v>2020</v>
      </c>
    </row>
    <row r="373" spans="1:21" ht="15.75">
      <c r="A373" s="79">
        <f>A372+1</f>
        <v>300</v>
      </c>
      <c r="B373" s="186" t="s">
        <v>367</v>
      </c>
      <c r="C373" s="81">
        <v>1968</v>
      </c>
      <c r="D373" s="116"/>
      <c r="E373" s="116"/>
      <c r="F373" s="33">
        <v>2115.1999999999998</v>
      </c>
      <c r="G373" s="33">
        <v>1965</v>
      </c>
      <c r="H373" s="13">
        <f>K373</f>
        <v>3243966</v>
      </c>
      <c r="I373" s="1">
        <v>0</v>
      </c>
      <c r="J373" s="1">
        <v>0</v>
      </c>
      <c r="K373" s="13">
        <v>3243966</v>
      </c>
      <c r="L373" s="1">
        <v>0</v>
      </c>
      <c r="M373" s="1">
        <v>0</v>
      </c>
      <c r="N373" s="13"/>
      <c r="O373" s="13" t="s">
        <v>59</v>
      </c>
      <c r="P373" s="13"/>
      <c r="Q373" s="15"/>
      <c r="R373" s="15"/>
      <c r="S373" s="13">
        <v>3243966</v>
      </c>
      <c r="T373" s="79">
        <v>2020</v>
      </c>
      <c r="U373" s="79">
        <v>2020</v>
      </c>
    </row>
    <row r="374" spans="1:21" ht="15.75">
      <c r="A374" s="79">
        <f>A373+1</f>
        <v>301</v>
      </c>
      <c r="B374" s="223" t="s">
        <v>368</v>
      </c>
      <c r="C374" s="81">
        <v>1972</v>
      </c>
      <c r="D374" s="116"/>
      <c r="E374" s="116"/>
      <c r="F374" s="33">
        <v>4077.7</v>
      </c>
      <c r="G374" s="33">
        <f>3110.7 +699</f>
        <v>3809.7</v>
      </c>
      <c r="H374" s="13">
        <f>K374+O374</f>
        <v>10515419.65</v>
      </c>
      <c r="I374" s="1">
        <v>0</v>
      </c>
      <c r="J374" s="1">
        <v>0</v>
      </c>
      <c r="K374" s="13">
        <f>2760.17*G374</f>
        <v>10515419.65</v>
      </c>
      <c r="L374" s="1">
        <v>0</v>
      </c>
      <c r="M374" s="1" t="s">
        <v>59</v>
      </c>
      <c r="N374" s="1" t="s">
        <v>59</v>
      </c>
      <c r="O374" s="1">
        <v>0</v>
      </c>
      <c r="P374" s="13"/>
      <c r="Q374" s="15"/>
      <c r="R374" s="15"/>
      <c r="S374" s="13">
        <f>H374</f>
        <v>10515419.65</v>
      </c>
      <c r="T374" s="79">
        <v>2020</v>
      </c>
      <c r="U374" s="79">
        <v>2020</v>
      </c>
    </row>
    <row r="375" spans="1:21" ht="15.75">
      <c r="A375" s="301" t="s">
        <v>40</v>
      </c>
      <c r="B375" s="303"/>
      <c r="C375" s="83"/>
      <c r="D375" s="116"/>
      <c r="E375" s="116"/>
      <c r="F375" s="14">
        <f>F371+F372+F373+F374</f>
        <v>13882.5</v>
      </c>
      <c r="G375" s="27">
        <f>G371+G372+G373+G374</f>
        <v>12696.5</v>
      </c>
      <c r="H375" s="14">
        <f>H371+H372+H373+H374</f>
        <v>21160730.5</v>
      </c>
      <c r="I375" s="15">
        <v>0</v>
      </c>
      <c r="J375" s="15">
        <v>0</v>
      </c>
      <c r="K375" s="14">
        <f>K371+K372+K373+K374</f>
        <v>21160730.5</v>
      </c>
      <c r="L375" s="15">
        <f>SUM(L371:L374)</f>
        <v>0</v>
      </c>
      <c r="M375" s="15">
        <f>SUM(M371:M374)</f>
        <v>0</v>
      </c>
      <c r="N375" s="15">
        <f>SUM(N371:N374)</f>
        <v>0</v>
      </c>
      <c r="O375" s="15">
        <f>SUM(O371:O374)</f>
        <v>0</v>
      </c>
      <c r="P375" s="15">
        <v>0</v>
      </c>
      <c r="Q375" s="15">
        <v>0</v>
      </c>
      <c r="R375" s="15">
        <v>0</v>
      </c>
      <c r="S375" s="14">
        <f>S371+S372+S373+S374</f>
        <v>21160730.5</v>
      </c>
      <c r="T375" s="116">
        <v>2020</v>
      </c>
      <c r="U375" s="116">
        <v>2020</v>
      </c>
    </row>
    <row r="376" spans="1:21" ht="15.75">
      <c r="A376" s="301" t="s">
        <v>800</v>
      </c>
      <c r="B376" s="303"/>
      <c r="C376" s="83"/>
      <c r="D376" s="116"/>
      <c r="E376" s="116"/>
      <c r="F376" s="35">
        <f t="shared" ref="F376:N376" si="71">F362+F369+F375</f>
        <v>48097</v>
      </c>
      <c r="G376" s="27">
        <f t="shared" si="71"/>
        <v>40452.199999999997</v>
      </c>
      <c r="H376" s="27">
        <f t="shared" si="71"/>
        <v>79918474.829999998</v>
      </c>
      <c r="I376" s="27">
        <f t="shared" si="71"/>
        <v>19777428.920000002</v>
      </c>
      <c r="J376" s="15">
        <f t="shared" si="71"/>
        <v>0</v>
      </c>
      <c r="K376" s="15">
        <f t="shared" si="71"/>
        <v>35675755.270000003</v>
      </c>
      <c r="L376" s="15">
        <f t="shared" si="71"/>
        <v>0</v>
      </c>
      <c r="M376" s="15">
        <f t="shared" si="71"/>
        <v>18087572.41</v>
      </c>
      <c r="N376" s="15">
        <f t="shared" si="71"/>
        <v>4034006.87</v>
      </c>
      <c r="O376" s="15">
        <f>O375+O369+O362</f>
        <v>2343711.36</v>
      </c>
      <c r="P376" s="15">
        <f>P375+P369+P362</f>
        <v>0</v>
      </c>
      <c r="Q376" s="15">
        <f>Q375+Q369+Q362</f>
        <v>0</v>
      </c>
      <c r="R376" s="15">
        <f>R375+R369+R362</f>
        <v>0</v>
      </c>
      <c r="S376" s="37">
        <f>S362+S369+S375</f>
        <v>79918474.829999998</v>
      </c>
      <c r="T376" s="16" t="s">
        <v>31</v>
      </c>
      <c r="U376" s="16" t="s">
        <v>31</v>
      </c>
    </row>
    <row r="377" spans="1:21" ht="15.75">
      <c r="A377" s="298" t="s">
        <v>801</v>
      </c>
      <c r="B377" s="299"/>
      <c r="C377" s="299"/>
      <c r="D377" s="299"/>
      <c r="E377" s="299"/>
      <c r="F377" s="299"/>
      <c r="G377" s="299"/>
      <c r="H377" s="299"/>
      <c r="I377" s="299"/>
      <c r="J377" s="299"/>
      <c r="K377" s="299"/>
      <c r="L377" s="299"/>
      <c r="M377" s="299"/>
      <c r="N377" s="299"/>
      <c r="O377" s="299"/>
      <c r="P377" s="299"/>
      <c r="Q377" s="299"/>
      <c r="R377" s="299"/>
      <c r="S377" s="299"/>
      <c r="T377" s="299"/>
      <c r="U377" s="300"/>
    </row>
    <row r="378" spans="1:21" ht="15.75">
      <c r="A378" s="298" t="s">
        <v>369</v>
      </c>
      <c r="B378" s="299"/>
      <c r="C378" s="299"/>
      <c r="D378" s="299"/>
      <c r="E378" s="299"/>
      <c r="F378" s="299"/>
      <c r="G378" s="299"/>
      <c r="H378" s="299"/>
      <c r="I378" s="299"/>
      <c r="J378" s="299"/>
      <c r="K378" s="299"/>
      <c r="L378" s="299"/>
      <c r="M378" s="299"/>
      <c r="N378" s="299"/>
      <c r="O378" s="299"/>
      <c r="P378" s="299"/>
      <c r="Q378" s="299"/>
      <c r="R378" s="299"/>
      <c r="S378" s="299"/>
      <c r="T378" s="299"/>
      <c r="U378" s="300"/>
    </row>
    <row r="379" spans="1:21" ht="15.75">
      <c r="A379" s="79">
        <f>A374+1</f>
        <v>302</v>
      </c>
      <c r="B379" s="186" t="s">
        <v>370</v>
      </c>
      <c r="C379" s="81">
        <v>1992</v>
      </c>
      <c r="D379" s="79"/>
      <c r="E379" s="79"/>
      <c r="F379" s="90">
        <v>2711.5</v>
      </c>
      <c r="G379" s="90">
        <v>2398.6</v>
      </c>
      <c r="H379" s="1">
        <f>K379+O379</f>
        <v>6437021.7000000002</v>
      </c>
      <c r="I379" s="1">
        <v>0</v>
      </c>
      <c r="J379" s="1">
        <v>0</v>
      </c>
      <c r="K379" s="1">
        <f>ROUND(2604.66*G379*1.015,2)</f>
        <v>6341250.54</v>
      </c>
      <c r="L379" s="1">
        <v>0</v>
      </c>
      <c r="M379" s="1">
        <v>0</v>
      </c>
      <c r="N379" s="1">
        <v>0</v>
      </c>
      <c r="O379" s="1">
        <v>95771.16</v>
      </c>
      <c r="P379" s="1">
        <v>0</v>
      </c>
      <c r="Q379" s="1">
        <v>0</v>
      </c>
      <c r="R379" s="1">
        <v>0</v>
      </c>
      <c r="S379" s="13">
        <f>H379</f>
        <v>6437021.7000000002</v>
      </c>
      <c r="T379" s="79">
        <v>2018</v>
      </c>
      <c r="U379" s="34">
        <v>2020</v>
      </c>
    </row>
    <row r="380" spans="1:21" ht="15.75">
      <c r="A380" s="79">
        <f>A379+1</f>
        <v>303</v>
      </c>
      <c r="B380" s="186" t="s">
        <v>371</v>
      </c>
      <c r="C380" s="81">
        <v>1937</v>
      </c>
      <c r="D380" s="79"/>
      <c r="E380" s="79"/>
      <c r="F380" s="90">
        <v>489.1</v>
      </c>
      <c r="G380" s="90">
        <v>438.1</v>
      </c>
      <c r="H380" s="1">
        <f>I380+J380+K380+L380+M380+N380+O380</f>
        <v>3686200.22</v>
      </c>
      <c r="I380" s="1">
        <f>(2501151.24+947117.94)*1.015</f>
        <v>3499993.22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186207</v>
      </c>
      <c r="P380" s="1">
        <v>0</v>
      </c>
      <c r="Q380" s="1">
        <v>0</v>
      </c>
      <c r="R380" s="1">
        <v>0</v>
      </c>
      <c r="S380" s="13">
        <f>H380</f>
        <v>3686200.22</v>
      </c>
      <c r="T380" s="79">
        <v>2020</v>
      </c>
      <c r="U380" s="34">
        <v>2020</v>
      </c>
    </row>
    <row r="381" spans="1:21" ht="15.75">
      <c r="A381" s="301" t="s">
        <v>40</v>
      </c>
      <c r="B381" s="303"/>
      <c r="C381" s="83"/>
      <c r="D381" s="116"/>
      <c r="E381" s="116"/>
      <c r="F381" s="14">
        <f t="shared" ref="F381:S381" si="72">SUM(F379:F380)</f>
        <v>3200.6</v>
      </c>
      <c r="G381" s="27">
        <f t="shared" si="72"/>
        <v>2836.7</v>
      </c>
      <c r="H381" s="15">
        <f t="shared" si="72"/>
        <v>10123221.92</v>
      </c>
      <c r="I381" s="15">
        <f t="shared" si="72"/>
        <v>3499993.22</v>
      </c>
      <c r="J381" s="15">
        <f t="shared" si="72"/>
        <v>0</v>
      </c>
      <c r="K381" s="15">
        <f t="shared" si="72"/>
        <v>6341250.54</v>
      </c>
      <c r="L381" s="15">
        <f t="shared" si="72"/>
        <v>0</v>
      </c>
      <c r="M381" s="15">
        <f t="shared" si="72"/>
        <v>0</v>
      </c>
      <c r="N381" s="15">
        <f t="shared" si="72"/>
        <v>0</v>
      </c>
      <c r="O381" s="15">
        <f t="shared" si="72"/>
        <v>281978.15999999997</v>
      </c>
      <c r="P381" s="15">
        <f t="shared" si="72"/>
        <v>0</v>
      </c>
      <c r="Q381" s="15">
        <f t="shared" si="72"/>
        <v>0</v>
      </c>
      <c r="R381" s="15">
        <f t="shared" si="72"/>
        <v>0</v>
      </c>
      <c r="S381" s="15">
        <f t="shared" si="72"/>
        <v>10123221.92</v>
      </c>
      <c r="T381" s="16" t="s">
        <v>31</v>
      </c>
      <c r="U381" s="16" t="s">
        <v>31</v>
      </c>
    </row>
    <row r="382" spans="1:21" ht="15.75">
      <c r="A382" s="301" t="s">
        <v>802</v>
      </c>
      <c r="B382" s="303"/>
      <c r="C382" s="83"/>
      <c r="D382" s="116"/>
      <c r="E382" s="116"/>
      <c r="F382" s="14">
        <f t="shared" ref="F382:S382" si="73">F381</f>
        <v>3200.6</v>
      </c>
      <c r="G382" s="27">
        <f t="shared" si="73"/>
        <v>2836.7</v>
      </c>
      <c r="H382" s="27">
        <f t="shared" si="73"/>
        <v>10123221.92</v>
      </c>
      <c r="I382" s="27">
        <f t="shared" si="73"/>
        <v>3499993.22</v>
      </c>
      <c r="J382" s="15">
        <f t="shared" si="73"/>
        <v>0</v>
      </c>
      <c r="K382" s="15">
        <f t="shared" si="73"/>
        <v>6341250.54</v>
      </c>
      <c r="L382" s="15">
        <f t="shared" si="73"/>
        <v>0</v>
      </c>
      <c r="M382" s="15">
        <f t="shared" si="73"/>
        <v>0</v>
      </c>
      <c r="N382" s="15">
        <f t="shared" si="73"/>
        <v>0</v>
      </c>
      <c r="O382" s="15">
        <f t="shared" si="73"/>
        <v>281978.15999999997</v>
      </c>
      <c r="P382" s="15">
        <f t="shared" si="73"/>
        <v>0</v>
      </c>
      <c r="Q382" s="15">
        <f t="shared" si="73"/>
        <v>0</v>
      </c>
      <c r="R382" s="15">
        <f t="shared" si="73"/>
        <v>0</v>
      </c>
      <c r="S382" s="27">
        <f t="shared" si="73"/>
        <v>10123221.92</v>
      </c>
      <c r="T382" s="16" t="s">
        <v>31</v>
      </c>
      <c r="U382" s="16" t="s">
        <v>31</v>
      </c>
    </row>
    <row r="383" spans="1:21" ht="15.75">
      <c r="A383" s="298"/>
      <c r="B383" s="299"/>
      <c r="C383" s="299"/>
      <c r="D383" s="299"/>
      <c r="E383" s="299"/>
      <c r="F383" s="299"/>
      <c r="G383" s="299"/>
      <c r="H383" s="299"/>
      <c r="I383" s="299"/>
      <c r="J383" s="299"/>
      <c r="K383" s="299"/>
      <c r="L383" s="299"/>
      <c r="M383" s="299"/>
      <c r="N383" s="299"/>
      <c r="O383" s="299"/>
      <c r="P383" s="299"/>
      <c r="Q383" s="299"/>
      <c r="R383" s="299"/>
      <c r="S383" s="299"/>
      <c r="T383" s="299"/>
      <c r="U383" s="300"/>
    </row>
    <row r="384" spans="1:21" ht="18.75">
      <c r="A384" s="311" t="s">
        <v>372</v>
      </c>
      <c r="B384" s="312"/>
      <c r="C384" s="87"/>
      <c r="D384" s="88"/>
      <c r="E384" s="88"/>
      <c r="F384" s="15">
        <f t="shared" ref="F384:O384" si="74">F409+F421+F432+F524+F538+F550+F572+F398+F587+F590+F611+F615+F634+F660+F668+F688+F695</f>
        <v>931802.23</v>
      </c>
      <c r="G384" s="15">
        <f t="shared" si="74"/>
        <v>814048</v>
      </c>
      <c r="H384" s="15">
        <f t="shared" si="74"/>
        <v>1692372298.23</v>
      </c>
      <c r="I384" s="15">
        <f t="shared" si="74"/>
        <v>301511716.75</v>
      </c>
      <c r="J384" s="15">
        <f t="shared" si="74"/>
        <v>81296948.170000002</v>
      </c>
      <c r="K384" s="15">
        <f t="shared" si="74"/>
        <v>817556153.05999994</v>
      </c>
      <c r="L384" s="15">
        <f t="shared" si="74"/>
        <v>16965529.879999999</v>
      </c>
      <c r="M384" s="15">
        <f t="shared" si="74"/>
        <v>398667408.31999999</v>
      </c>
      <c r="N384" s="15">
        <f t="shared" si="74"/>
        <v>5216880.2</v>
      </c>
      <c r="O384" s="15">
        <f t="shared" si="74"/>
        <v>71157661.849999994</v>
      </c>
      <c r="P384" s="15">
        <f>P398+P409+P421+P432+P524+P538+P550+P572+P587+P590+P611+P615+P634+P660+P668+P688+P695</f>
        <v>156550011.99000001</v>
      </c>
      <c r="Q384" s="15">
        <f>Q398+Q409+Q421+Q432+Q524+Q538+Q550+Q572+Q587+Q590+Q611+Q615+Q634+Q660+Q668+Q688+Q695</f>
        <v>421646463.00999999</v>
      </c>
      <c r="R384" s="15">
        <f>R409+R421+R432+R524+R538+R550+R572+R398+R587+R590+R611+R615+R634+R660+R668+R688+R695</f>
        <v>3694262.67</v>
      </c>
      <c r="S384" s="15">
        <f>S409+S421+S432+S524+S538+S550+S572+S398+S587+S590+S611+S615+S634+S660+S668+S688+S695</f>
        <v>1110481560.5599999</v>
      </c>
      <c r="T384" s="16" t="s">
        <v>31</v>
      </c>
      <c r="U384" s="16" t="s">
        <v>31</v>
      </c>
    </row>
    <row r="385" spans="1:21" ht="15.75">
      <c r="A385" s="289" t="s">
        <v>373</v>
      </c>
      <c r="B385" s="289"/>
      <c r="C385" s="289"/>
      <c r="D385" s="289"/>
      <c r="E385" s="289"/>
      <c r="F385" s="289"/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</row>
    <row r="386" spans="1:21" ht="15.75">
      <c r="A386" s="89">
        <v>1</v>
      </c>
      <c r="B386" s="264" t="s">
        <v>374</v>
      </c>
      <c r="C386" s="81">
        <v>1978</v>
      </c>
      <c r="D386" s="79"/>
      <c r="E386" s="79"/>
      <c r="F386" s="90">
        <v>3492.7</v>
      </c>
      <c r="G386" s="90">
        <v>3447.6</v>
      </c>
      <c r="H386" s="1">
        <f t="shared" ref="H386:H397" si="75">I386+J386+K386+L386+M386+N386+O386</f>
        <v>4354473.4400000004</v>
      </c>
      <c r="I386" s="1">
        <v>0</v>
      </c>
      <c r="J386" s="1">
        <v>0</v>
      </c>
      <c r="K386" s="1">
        <v>3967310</v>
      </c>
      <c r="L386" s="1">
        <v>0</v>
      </c>
      <c r="M386" s="1">
        <v>0</v>
      </c>
      <c r="N386" s="1">
        <v>0</v>
      </c>
      <c r="O386" s="1">
        <v>387163.44</v>
      </c>
      <c r="P386" s="38">
        <f t="shared" ref="P386:P395" si="76">ROUND(H386*0.71,2)</f>
        <v>3091676.14</v>
      </c>
      <c r="Q386" s="1">
        <f t="shared" ref="Q386:Q395" si="77">ROUND(H386*0.29,2)</f>
        <v>1262797.3</v>
      </c>
      <c r="R386" s="1">
        <v>0</v>
      </c>
      <c r="S386" s="1">
        <v>0</v>
      </c>
      <c r="T386" s="79">
        <v>2021</v>
      </c>
      <c r="U386" s="79">
        <v>2021</v>
      </c>
    </row>
    <row r="387" spans="1:21" ht="15.75">
      <c r="A387" s="89">
        <f t="shared" ref="A387:A397" si="78">A386+1</f>
        <v>2</v>
      </c>
      <c r="B387" s="264" t="s">
        <v>375</v>
      </c>
      <c r="C387" s="81">
        <v>1981</v>
      </c>
      <c r="D387" s="79"/>
      <c r="E387" s="79"/>
      <c r="F387" s="90">
        <v>2240.4</v>
      </c>
      <c r="G387" s="90">
        <v>2218.1</v>
      </c>
      <c r="H387" s="1">
        <f t="shared" si="75"/>
        <v>11340505.699999999</v>
      </c>
      <c r="I387" s="1">
        <v>0</v>
      </c>
      <c r="J387" s="1">
        <v>0</v>
      </c>
      <c r="K387" s="1">
        <v>0</v>
      </c>
      <c r="L387" s="1">
        <v>0</v>
      </c>
      <c r="M387" s="1">
        <v>10698711.810000001</v>
      </c>
      <c r="N387" s="1">
        <v>0</v>
      </c>
      <c r="O387" s="1">
        <v>641793.89</v>
      </c>
      <c r="P387" s="38">
        <f t="shared" si="76"/>
        <v>8051759.0499999998</v>
      </c>
      <c r="Q387" s="1">
        <f t="shared" si="77"/>
        <v>3288746.65</v>
      </c>
      <c r="R387" s="1">
        <v>0</v>
      </c>
      <c r="S387" s="1">
        <v>0</v>
      </c>
      <c r="T387" s="79">
        <v>2021</v>
      </c>
      <c r="U387" s="79">
        <v>2021</v>
      </c>
    </row>
    <row r="388" spans="1:21" ht="15.75">
      <c r="A388" s="89">
        <f t="shared" si="78"/>
        <v>3</v>
      </c>
      <c r="B388" s="264" t="s">
        <v>376</v>
      </c>
      <c r="C388" s="81">
        <v>1980</v>
      </c>
      <c r="D388" s="79"/>
      <c r="E388" s="79"/>
      <c r="F388" s="90">
        <v>3492.1</v>
      </c>
      <c r="G388" s="90">
        <v>3461.7</v>
      </c>
      <c r="H388" s="1">
        <f t="shared" si="75"/>
        <v>12873289.75</v>
      </c>
      <c r="I388" s="1">
        <v>0</v>
      </c>
      <c r="J388" s="1">
        <v>0</v>
      </c>
      <c r="K388" s="1">
        <v>0</v>
      </c>
      <c r="L388" s="1">
        <v>0</v>
      </c>
      <c r="M388" s="1">
        <v>12112898.939999999</v>
      </c>
      <c r="N388" s="1">
        <v>0</v>
      </c>
      <c r="O388" s="1">
        <v>760390.81</v>
      </c>
      <c r="P388" s="38">
        <f t="shared" si="76"/>
        <v>9140035.7200000007</v>
      </c>
      <c r="Q388" s="1">
        <f t="shared" si="77"/>
        <v>3733254.03</v>
      </c>
      <c r="R388" s="1">
        <v>0</v>
      </c>
      <c r="S388" s="1">
        <v>0</v>
      </c>
      <c r="T388" s="79">
        <v>2021</v>
      </c>
      <c r="U388" s="79">
        <v>2021</v>
      </c>
    </row>
    <row r="389" spans="1:21" ht="15.75">
      <c r="A389" s="89">
        <f t="shared" si="78"/>
        <v>4</v>
      </c>
      <c r="B389" s="264" t="s">
        <v>34</v>
      </c>
      <c r="C389" s="81">
        <v>1979</v>
      </c>
      <c r="D389" s="79"/>
      <c r="E389" s="79"/>
      <c r="F389" s="90">
        <v>2212.4</v>
      </c>
      <c r="G389" s="90">
        <v>2195.6999999999998</v>
      </c>
      <c r="H389" s="1">
        <f t="shared" si="75"/>
        <v>11721202.890000001</v>
      </c>
      <c r="I389" s="1">
        <v>0</v>
      </c>
      <c r="J389" s="1">
        <v>0</v>
      </c>
      <c r="K389" s="1">
        <v>0</v>
      </c>
      <c r="L389" s="1">
        <v>0</v>
      </c>
      <c r="M389" s="1">
        <v>11079409</v>
      </c>
      <c r="N389" s="1">
        <v>0</v>
      </c>
      <c r="O389" s="1">
        <v>641793.89</v>
      </c>
      <c r="P389" s="38">
        <f t="shared" si="76"/>
        <v>8322054.0499999998</v>
      </c>
      <c r="Q389" s="1">
        <f t="shared" si="77"/>
        <v>3399148.84</v>
      </c>
      <c r="R389" s="1">
        <v>0</v>
      </c>
      <c r="S389" s="1">
        <v>0</v>
      </c>
      <c r="T389" s="79">
        <v>2021</v>
      </c>
      <c r="U389" s="79">
        <v>2021</v>
      </c>
    </row>
    <row r="390" spans="1:21" ht="15.75">
      <c r="A390" s="89">
        <f t="shared" si="78"/>
        <v>5</v>
      </c>
      <c r="B390" s="264" t="s">
        <v>377</v>
      </c>
      <c r="C390" s="81">
        <v>1986</v>
      </c>
      <c r="D390" s="79"/>
      <c r="E390" s="79"/>
      <c r="F390" s="90">
        <v>2139.1999999999998</v>
      </c>
      <c r="G390" s="90">
        <v>2105</v>
      </c>
      <c r="H390" s="1">
        <f t="shared" si="75"/>
        <v>2879289.18</v>
      </c>
      <c r="I390" s="1">
        <v>0</v>
      </c>
      <c r="J390" s="1">
        <v>0</v>
      </c>
      <c r="K390" s="1">
        <v>2544572</v>
      </c>
      <c r="L390" s="1">
        <v>0</v>
      </c>
      <c r="M390" s="1">
        <v>0</v>
      </c>
      <c r="N390" s="1">
        <v>0</v>
      </c>
      <c r="O390" s="1">
        <v>334717.18</v>
      </c>
      <c r="P390" s="38">
        <f t="shared" si="76"/>
        <v>2044295.32</v>
      </c>
      <c r="Q390" s="1">
        <f t="shared" si="77"/>
        <v>834993.86</v>
      </c>
      <c r="R390" s="1">
        <v>0</v>
      </c>
      <c r="S390" s="1">
        <v>0</v>
      </c>
      <c r="T390" s="79">
        <v>2021</v>
      </c>
      <c r="U390" s="79">
        <v>2021</v>
      </c>
    </row>
    <row r="391" spans="1:21" ht="15.75">
      <c r="A391" s="89">
        <f t="shared" si="78"/>
        <v>6</v>
      </c>
      <c r="B391" s="264" t="s">
        <v>378</v>
      </c>
      <c r="C391" s="81">
        <v>1983</v>
      </c>
      <c r="D391" s="79"/>
      <c r="E391" s="79"/>
      <c r="F391" s="90">
        <v>3507.4</v>
      </c>
      <c r="G391" s="90">
        <v>3458.5</v>
      </c>
      <c r="H391" s="1">
        <f t="shared" si="75"/>
        <v>4355219.76</v>
      </c>
      <c r="I391" s="1">
        <v>0</v>
      </c>
      <c r="J391" s="1">
        <v>0</v>
      </c>
      <c r="K391" s="1">
        <v>3967310</v>
      </c>
      <c r="L391" s="1">
        <v>0</v>
      </c>
      <c r="M391" s="1">
        <v>0</v>
      </c>
      <c r="N391" s="1">
        <v>0</v>
      </c>
      <c r="O391" s="1">
        <v>387909.76</v>
      </c>
      <c r="P391" s="38">
        <f t="shared" si="76"/>
        <v>3092206.03</v>
      </c>
      <c r="Q391" s="1">
        <f t="shared" si="77"/>
        <v>1263013.73</v>
      </c>
      <c r="R391" s="1">
        <v>0</v>
      </c>
      <c r="S391" s="1">
        <v>0</v>
      </c>
      <c r="T391" s="79">
        <v>2021</v>
      </c>
      <c r="U391" s="79">
        <v>2021</v>
      </c>
    </row>
    <row r="392" spans="1:21" ht="15.75">
      <c r="A392" s="89">
        <f t="shared" si="78"/>
        <v>7</v>
      </c>
      <c r="B392" s="264" t="s">
        <v>379</v>
      </c>
      <c r="C392" s="81">
        <v>1987</v>
      </c>
      <c r="D392" s="79"/>
      <c r="E392" s="79"/>
      <c r="F392" s="90">
        <v>3515.8</v>
      </c>
      <c r="G392" s="90">
        <v>3467.9</v>
      </c>
      <c r="H392" s="1">
        <f t="shared" si="75"/>
        <v>4819803.1900000004</v>
      </c>
      <c r="I392" s="1">
        <v>4546984.1399999997</v>
      </c>
      <c r="J392" s="1">
        <v>0</v>
      </c>
      <c r="K392" s="1"/>
      <c r="L392" s="1">
        <v>0</v>
      </c>
      <c r="M392" s="1">
        <v>0</v>
      </c>
      <c r="N392" s="1">
        <v>0</v>
      </c>
      <c r="O392" s="1">
        <v>272819.05</v>
      </c>
      <c r="P392" s="38">
        <f t="shared" si="76"/>
        <v>3422060.26</v>
      </c>
      <c r="Q392" s="1">
        <f t="shared" si="77"/>
        <v>1397742.93</v>
      </c>
      <c r="R392" s="1">
        <v>0</v>
      </c>
      <c r="S392" s="1">
        <v>0</v>
      </c>
      <c r="T392" s="79">
        <v>2021</v>
      </c>
      <c r="U392" s="79">
        <v>2021</v>
      </c>
    </row>
    <row r="393" spans="1:21" ht="15.75">
      <c r="A393" s="89">
        <f t="shared" si="78"/>
        <v>8</v>
      </c>
      <c r="B393" s="264" t="s">
        <v>380</v>
      </c>
      <c r="C393" s="81">
        <v>1988</v>
      </c>
      <c r="D393" s="79"/>
      <c r="E393" s="79"/>
      <c r="F393" s="90">
        <v>2583.4</v>
      </c>
      <c r="G393" s="90">
        <v>2522.6</v>
      </c>
      <c r="H393" s="1">
        <f t="shared" si="75"/>
        <v>2722829.6</v>
      </c>
      <c r="I393" s="1">
        <v>0</v>
      </c>
      <c r="J393" s="1">
        <v>0</v>
      </c>
      <c r="K393" s="1">
        <v>2335891</v>
      </c>
      <c r="L393" s="1">
        <v>0</v>
      </c>
      <c r="M393" s="1">
        <v>0</v>
      </c>
      <c r="N393" s="1">
        <v>0</v>
      </c>
      <c r="O393" s="1">
        <v>386938.6</v>
      </c>
      <c r="P393" s="38">
        <f t="shared" si="76"/>
        <v>1933209.02</v>
      </c>
      <c r="Q393" s="1">
        <f t="shared" si="77"/>
        <v>789620.58</v>
      </c>
      <c r="R393" s="1">
        <v>0</v>
      </c>
      <c r="S393" s="1">
        <v>0</v>
      </c>
      <c r="T393" s="79">
        <v>2021</v>
      </c>
      <c r="U393" s="79">
        <v>2021</v>
      </c>
    </row>
    <row r="394" spans="1:21" ht="15.75">
      <c r="A394" s="89">
        <f t="shared" si="78"/>
        <v>9</v>
      </c>
      <c r="B394" s="264" t="s">
        <v>35</v>
      </c>
      <c r="C394" s="81">
        <v>1983</v>
      </c>
      <c r="D394" s="79"/>
      <c r="E394" s="79"/>
      <c r="F394" s="90">
        <v>3497.3</v>
      </c>
      <c r="G394" s="90">
        <v>3449.3</v>
      </c>
      <c r="H394" s="1">
        <f t="shared" si="75"/>
        <v>4354892.32</v>
      </c>
      <c r="I394" s="1">
        <v>0</v>
      </c>
      <c r="J394" s="1">
        <v>0</v>
      </c>
      <c r="K394" s="1">
        <v>3967310</v>
      </c>
      <c r="L394" s="1">
        <v>0</v>
      </c>
      <c r="M394" s="1">
        <v>0</v>
      </c>
      <c r="N394" s="1">
        <v>0</v>
      </c>
      <c r="O394" s="1">
        <v>387582.32</v>
      </c>
      <c r="P394" s="38">
        <f t="shared" si="76"/>
        <v>3091973.55</v>
      </c>
      <c r="Q394" s="1">
        <f t="shared" si="77"/>
        <v>1262918.77</v>
      </c>
      <c r="R394" s="1">
        <v>0</v>
      </c>
      <c r="S394" s="1">
        <v>0</v>
      </c>
      <c r="T394" s="79">
        <v>2021</v>
      </c>
      <c r="U394" s="79">
        <v>2021</v>
      </c>
    </row>
    <row r="395" spans="1:21" ht="15.75">
      <c r="A395" s="89">
        <f t="shared" si="78"/>
        <v>10</v>
      </c>
      <c r="B395" s="264" t="s">
        <v>36</v>
      </c>
      <c r="C395" s="81">
        <v>1991</v>
      </c>
      <c r="D395" s="79"/>
      <c r="E395" s="79"/>
      <c r="F395" s="90">
        <v>3273.2</v>
      </c>
      <c r="G395" s="90">
        <v>3266.5</v>
      </c>
      <c r="H395" s="1">
        <f t="shared" si="75"/>
        <v>14782890.189999999</v>
      </c>
      <c r="I395" s="1">
        <v>4233229.5599999996</v>
      </c>
      <c r="J395" s="1">
        <v>0</v>
      </c>
      <c r="K395" s="1">
        <v>9917507</v>
      </c>
      <c r="L395" s="1">
        <v>0</v>
      </c>
      <c r="M395" s="1">
        <v>0</v>
      </c>
      <c r="N395" s="1">
        <v>0</v>
      </c>
      <c r="O395" s="1">
        <v>632153.63</v>
      </c>
      <c r="P395" s="38">
        <f t="shared" si="76"/>
        <v>10495852.029999999</v>
      </c>
      <c r="Q395" s="1">
        <f t="shared" si="77"/>
        <v>4287038.16</v>
      </c>
      <c r="R395" s="1">
        <v>0</v>
      </c>
      <c r="S395" s="1">
        <v>0</v>
      </c>
      <c r="T395" s="79">
        <v>2021</v>
      </c>
      <c r="U395" s="79">
        <v>2021</v>
      </c>
    </row>
    <row r="396" spans="1:21" ht="15.75">
      <c r="A396" s="89">
        <f t="shared" si="78"/>
        <v>11</v>
      </c>
      <c r="B396" s="264" t="s">
        <v>381</v>
      </c>
      <c r="C396" s="81">
        <v>1993</v>
      </c>
      <c r="D396" s="79"/>
      <c r="E396" s="79"/>
      <c r="F396" s="90">
        <v>3208.1</v>
      </c>
      <c r="G396" s="90">
        <v>3171.9</v>
      </c>
      <c r="H396" s="1">
        <f t="shared" si="75"/>
        <v>12882624.75</v>
      </c>
      <c r="I396" s="1">
        <v>4149035.73</v>
      </c>
      <c r="J396" s="1">
        <v>0</v>
      </c>
      <c r="K396" s="1">
        <f>ROUND(2604.66*G396*1.015,2)</f>
        <v>8385646.8700000001</v>
      </c>
      <c r="L396" s="1">
        <v>0</v>
      </c>
      <c r="M396" s="1">
        <v>0</v>
      </c>
      <c r="N396" s="1">
        <v>0</v>
      </c>
      <c r="O396" s="1">
        <v>347942.15</v>
      </c>
      <c r="P396" s="38">
        <f>ROUND(4397977.88*0.71,2)</f>
        <v>3122564.29</v>
      </c>
      <c r="Q396" s="1">
        <f>ROUND(4397977.88*0.29,2)</f>
        <v>1275413.5900000001</v>
      </c>
      <c r="R396" s="1">
        <v>0</v>
      </c>
      <c r="S396" s="91">
        <f>K396+99000</f>
        <v>8484646.8699999992</v>
      </c>
      <c r="T396" s="79">
        <v>2021</v>
      </c>
      <c r="U396" s="79">
        <v>2021</v>
      </c>
    </row>
    <row r="397" spans="1:21" ht="15.75">
      <c r="A397" s="89">
        <f t="shared" si="78"/>
        <v>12</v>
      </c>
      <c r="B397" s="264" t="s">
        <v>382</v>
      </c>
      <c r="C397" s="81">
        <v>1992</v>
      </c>
      <c r="D397" s="79"/>
      <c r="E397" s="79"/>
      <c r="F397" s="90">
        <v>2401</v>
      </c>
      <c r="G397" s="90">
        <v>2366.9</v>
      </c>
      <c r="H397" s="1">
        <f t="shared" si="75"/>
        <v>3291526.1</v>
      </c>
      <c r="I397" s="1">
        <v>3105213.3</v>
      </c>
      <c r="J397" s="1">
        <v>0</v>
      </c>
      <c r="K397" s="1"/>
      <c r="L397" s="1">
        <v>0</v>
      </c>
      <c r="M397" s="1">
        <v>0</v>
      </c>
      <c r="N397" s="1">
        <v>0</v>
      </c>
      <c r="O397" s="1">
        <v>186312.8</v>
      </c>
      <c r="P397" s="38">
        <f>ROUND(H397*0.71,2)</f>
        <v>2336983.5299999998</v>
      </c>
      <c r="Q397" s="1">
        <f>ROUND(H397*0.29,2)</f>
        <v>954542.57</v>
      </c>
      <c r="R397" s="1">
        <v>0</v>
      </c>
      <c r="S397" s="1">
        <v>0</v>
      </c>
      <c r="T397" s="79">
        <v>2021</v>
      </c>
      <c r="U397" s="79">
        <v>2021</v>
      </c>
    </row>
    <row r="398" spans="1:21" ht="15.75">
      <c r="A398" s="290" t="s">
        <v>383</v>
      </c>
      <c r="B398" s="290"/>
      <c r="C398" s="93"/>
      <c r="D398" s="94"/>
      <c r="E398" s="94"/>
      <c r="F398" s="14">
        <f t="shared" ref="F398:S398" si="79">SUM(F386:F397)</f>
        <v>35563</v>
      </c>
      <c r="G398" s="14">
        <f t="shared" si="79"/>
        <v>35131.699999999997</v>
      </c>
      <c r="H398" s="27">
        <f t="shared" si="79"/>
        <v>90378546.870000005</v>
      </c>
      <c r="I398" s="27">
        <f t="shared" si="79"/>
        <v>16034462.73</v>
      </c>
      <c r="J398" s="15">
        <f t="shared" si="79"/>
        <v>0</v>
      </c>
      <c r="K398" s="27">
        <f t="shared" si="79"/>
        <v>35085546.869999997</v>
      </c>
      <c r="L398" s="15">
        <f t="shared" si="79"/>
        <v>0</v>
      </c>
      <c r="M398" s="27">
        <f t="shared" si="79"/>
        <v>33891019.75</v>
      </c>
      <c r="N398" s="15">
        <f t="shared" si="79"/>
        <v>0</v>
      </c>
      <c r="O398" s="27">
        <f t="shared" si="79"/>
        <v>5367517.5199999996</v>
      </c>
      <c r="P398" s="37">
        <f t="shared" si="79"/>
        <v>58144668.990000002</v>
      </c>
      <c r="Q398" s="27">
        <f t="shared" si="79"/>
        <v>23749231.010000002</v>
      </c>
      <c r="R398" s="15">
        <f t="shared" si="79"/>
        <v>0</v>
      </c>
      <c r="S398" s="27">
        <f t="shared" si="79"/>
        <v>8484646.8699999992</v>
      </c>
      <c r="T398" s="16" t="s">
        <v>31</v>
      </c>
      <c r="U398" s="16" t="s">
        <v>31</v>
      </c>
    </row>
    <row r="399" spans="1:21" ht="15.75">
      <c r="A399" s="298" t="s">
        <v>384</v>
      </c>
      <c r="B399" s="299"/>
      <c r="C399" s="299"/>
      <c r="D399" s="299"/>
      <c r="E399" s="299"/>
      <c r="F399" s="299"/>
      <c r="G399" s="299"/>
      <c r="H399" s="299"/>
      <c r="I399" s="299"/>
      <c r="J399" s="299"/>
      <c r="K399" s="299"/>
      <c r="L399" s="299"/>
      <c r="M399" s="299"/>
      <c r="N399" s="299"/>
      <c r="O399" s="299"/>
      <c r="P399" s="299"/>
      <c r="Q399" s="299"/>
      <c r="R399" s="299"/>
      <c r="S399" s="299"/>
      <c r="T399" s="299"/>
      <c r="U399" s="300"/>
    </row>
    <row r="400" spans="1:21" ht="15.75">
      <c r="A400" s="126">
        <f>A397+1</f>
        <v>13</v>
      </c>
      <c r="B400" s="186" t="s">
        <v>385</v>
      </c>
      <c r="C400" s="99">
        <v>1966</v>
      </c>
      <c r="D400" s="79"/>
      <c r="E400" s="79"/>
      <c r="F400" s="39">
        <v>3416.2</v>
      </c>
      <c r="G400" s="39">
        <v>3157.6</v>
      </c>
      <c r="H400" s="1">
        <f t="shared" ref="H400:H408" si="80">I400+J400+K400+L400+M400+N400+O400</f>
        <v>8948841.7599999998</v>
      </c>
      <c r="I400" s="1">
        <v>0</v>
      </c>
      <c r="J400" s="1">
        <v>0</v>
      </c>
      <c r="K400" s="1">
        <f>ROUND(G400*2760.17*1.015,2)</f>
        <v>8846245.4800000004</v>
      </c>
      <c r="L400" s="1">
        <v>0</v>
      </c>
      <c r="M400" s="1">
        <v>0</v>
      </c>
      <c r="N400" s="1">
        <v>0</v>
      </c>
      <c r="O400" s="97">
        <v>102596.28</v>
      </c>
      <c r="P400" s="1">
        <v>0</v>
      </c>
      <c r="Q400" s="1">
        <v>0</v>
      </c>
      <c r="R400" s="1">
        <v>0</v>
      </c>
      <c r="S400" s="1">
        <f t="shared" ref="S400:S408" si="81">H400</f>
        <v>8948841.7599999998</v>
      </c>
      <c r="T400" s="79">
        <v>2021</v>
      </c>
      <c r="U400" s="79">
        <v>2021</v>
      </c>
    </row>
    <row r="401" spans="1:21" ht="15.75">
      <c r="A401" s="126">
        <f t="shared" ref="A401:A408" si="82">A400+1</f>
        <v>14</v>
      </c>
      <c r="B401" s="186" t="s">
        <v>386</v>
      </c>
      <c r="C401" s="99">
        <v>1965</v>
      </c>
      <c r="D401" s="79"/>
      <c r="E401" s="79"/>
      <c r="F401" s="29">
        <v>3811.3</v>
      </c>
      <c r="G401" s="29">
        <v>3507.5</v>
      </c>
      <c r="H401" s="1">
        <f t="shared" si="80"/>
        <v>9371402</v>
      </c>
      <c r="I401" s="1">
        <v>0</v>
      </c>
      <c r="J401" s="1">
        <v>0</v>
      </c>
      <c r="K401" s="1">
        <f>ROUND(G401*2604.66*1.015,2)</f>
        <v>9272882.6199999992</v>
      </c>
      <c r="L401" s="1">
        <v>0</v>
      </c>
      <c r="M401" s="1">
        <v>0</v>
      </c>
      <c r="N401" s="1">
        <v>0</v>
      </c>
      <c r="O401" s="97">
        <v>98519.38</v>
      </c>
      <c r="P401" s="1">
        <v>0</v>
      </c>
      <c r="Q401" s="1">
        <v>0</v>
      </c>
      <c r="R401" s="1">
        <v>0</v>
      </c>
      <c r="S401" s="1">
        <f t="shared" si="81"/>
        <v>9371402</v>
      </c>
      <c r="T401" s="79">
        <v>2021</v>
      </c>
      <c r="U401" s="79">
        <v>2021</v>
      </c>
    </row>
    <row r="402" spans="1:21" ht="15.75">
      <c r="A402" s="126">
        <f t="shared" si="82"/>
        <v>15</v>
      </c>
      <c r="B402" s="186" t="s">
        <v>387</v>
      </c>
      <c r="C402" s="99">
        <v>1966</v>
      </c>
      <c r="D402" s="79"/>
      <c r="E402" s="79"/>
      <c r="F402" s="29">
        <v>4789.7</v>
      </c>
      <c r="G402" s="29">
        <v>4359</v>
      </c>
      <c r="H402" s="1">
        <f t="shared" si="80"/>
        <v>11631778.630000001</v>
      </c>
      <c r="I402" s="1">
        <v>0</v>
      </c>
      <c r="J402" s="1">
        <v>0</v>
      </c>
      <c r="K402" s="1">
        <f>ROUND(G402*2604.66*1.015,2)</f>
        <v>11524018.630000001</v>
      </c>
      <c r="L402" s="1">
        <v>0</v>
      </c>
      <c r="M402" s="1">
        <v>0</v>
      </c>
      <c r="N402" s="1">
        <v>0</v>
      </c>
      <c r="O402" s="97">
        <v>107760</v>
      </c>
      <c r="P402" s="1">
        <v>0</v>
      </c>
      <c r="Q402" s="1">
        <v>0</v>
      </c>
      <c r="R402" s="1">
        <v>0</v>
      </c>
      <c r="S402" s="1">
        <f t="shared" si="81"/>
        <v>11631778.630000001</v>
      </c>
      <c r="T402" s="79">
        <v>2021</v>
      </c>
      <c r="U402" s="79">
        <v>2021</v>
      </c>
    </row>
    <row r="403" spans="1:21" ht="15.75">
      <c r="A403" s="126">
        <f t="shared" si="82"/>
        <v>16</v>
      </c>
      <c r="B403" s="186" t="s">
        <v>388</v>
      </c>
      <c r="C403" s="99">
        <v>1965</v>
      </c>
      <c r="D403" s="79"/>
      <c r="E403" s="79"/>
      <c r="F403" s="29">
        <v>2180.8000000000002</v>
      </c>
      <c r="G403" s="29">
        <v>2000.9</v>
      </c>
      <c r="H403" s="1">
        <f t="shared" si="80"/>
        <v>5706130.5099999998</v>
      </c>
      <c r="I403" s="1">
        <v>0</v>
      </c>
      <c r="J403" s="1">
        <v>0</v>
      </c>
      <c r="K403" s="1">
        <f>ROUND(G403*2760.17*1.015,2)-0.01</f>
        <v>5605666.5099999998</v>
      </c>
      <c r="L403" s="1">
        <v>0</v>
      </c>
      <c r="M403" s="1">
        <v>0</v>
      </c>
      <c r="N403" s="1">
        <v>0</v>
      </c>
      <c r="O403" s="97">
        <v>100464</v>
      </c>
      <c r="P403" s="1">
        <v>0</v>
      </c>
      <c r="Q403" s="1">
        <v>0</v>
      </c>
      <c r="R403" s="1">
        <v>0</v>
      </c>
      <c r="S403" s="1">
        <f t="shared" si="81"/>
        <v>5706130.5099999998</v>
      </c>
      <c r="T403" s="79">
        <v>2021</v>
      </c>
      <c r="U403" s="79">
        <v>2021</v>
      </c>
    </row>
    <row r="404" spans="1:21" ht="15.75">
      <c r="A404" s="126">
        <f t="shared" si="82"/>
        <v>17</v>
      </c>
      <c r="B404" s="186" t="s">
        <v>389</v>
      </c>
      <c r="C404" s="99">
        <v>1965</v>
      </c>
      <c r="D404" s="79"/>
      <c r="E404" s="79"/>
      <c r="F404" s="29">
        <v>4052.5</v>
      </c>
      <c r="G404" s="29">
        <v>3507.2</v>
      </c>
      <c r="H404" s="1">
        <f t="shared" si="80"/>
        <v>9372765.9299999997</v>
      </c>
      <c r="I404" s="1">
        <v>0</v>
      </c>
      <c r="J404" s="1">
        <v>0</v>
      </c>
      <c r="K404" s="1">
        <f>ROUND(G404*2604.66*1.015,2)</f>
        <v>9272089.5099999998</v>
      </c>
      <c r="L404" s="1">
        <v>0</v>
      </c>
      <c r="M404" s="1">
        <v>0</v>
      </c>
      <c r="N404" s="1">
        <v>0</v>
      </c>
      <c r="O404" s="97">
        <v>100676.42</v>
      </c>
      <c r="P404" s="1">
        <v>0</v>
      </c>
      <c r="Q404" s="1">
        <v>0</v>
      </c>
      <c r="R404" s="1">
        <v>0</v>
      </c>
      <c r="S404" s="1">
        <f t="shared" si="81"/>
        <v>9372765.9299999997</v>
      </c>
      <c r="T404" s="79">
        <v>2021</v>
      </c>
      <c r="U404" s="79">
        <v>2021</v>
      </c>
    </row>
    <row r="405" spans="1:21" ht="15.75">
      <c r="A405" s="126">
        <f t="shared" si="82"/>
        <v>18</v>
      </c>
      <c r="B405" s="186" t="s">
        <v>390</v>
      </c>
      <c r="C405" s="99">
        <v>1965</v>
      </c>
      <c r="D405" s="79"/>
      <c r="E405" s="79"/>
      <c r="F405" s="29">
        <v>3987.3</v>
      </c>
      <c r="G405" s="29">
        <v>3489.4</v>
      </c>
      <c r="H405" s="1">
        <f t="shared" si="80"/>
        <v>9327065.7100000009</v>
      </c>
      <c r="I405" s="1">
        <v>0</v>
      </c>
      <c r="J405" s="1">
        <v>0</v>
      </c>
      <c r="K405" s="1">
        <f>ROUND(G405*2604.66*1.015,2)</f>
        <v>9225031.1099999994</v>
      </c>
      <c r="L405" s="1">
        <v>0</v>
      </c>
      <c r="M405" s="1">
        <v>0</v>
      </c>
      <c r="N405" s="1">
        <v>0</v>
      </c>
      <c r="O405" s="97">
        <v>102034.6</v>
      </c>
      <c r="P405" s="1">
        <v>0</v>
      </c>
      <c r="Q405" s="1">
        <v>0</v>
      </c>
      <c r="R405" s="1">
        <v>0</v>
      </c>
      <c r="S405" s="1">
        <f t="shared" si="81"/>
        <v>9327065.7100000009</v>
      </c>
      <c r="T405" s="79">
        <v>2021</v>
      </c>
      <c r="U405" s="79">
        <v>2021</v>
      </c>
    </row>
    <row r="406" spans="1:21" ht="15.75">
      <c r="A406" s="126">
        <f t="shared" si="82"/>
        <v>19</v>
      </c>
      <c r="B406" s="186" t="s">
        <v>391</v>
      </c>
      <c r="C406" s="99">
        <v>1965</v>
      </c>
      <c r="D406" s="79"/>
      <c r="E406" s="79"/>
      <c r="F406" s="29">
        <v>3780.2</v>
      </c>
      <c r="G406" s="29">
        <v>3490.2</v>
      </c>
      <c r="H406" s="1">
        <f t="shared" si="80"/>
        <v>9328057.3300000001</v>
      </c>
      <c r="I406" s="1">
        <v>0</v>
      </c>
      <c r="J406" s="1">
        <v>0</v>
      </c>
      <c r="K406" s="1">
        <f>ROUND(G406*2604.66*1.015,2)-0.01</f>
        <v>9227146.0899999999</v>
      </c>
      <c r="L406" s="1">
        <v>0</v>
      </c>
      <c r="M406" s="1">
        <v>0</v>
      </c>
      <c r="N406" s="1">
        <v>0</v>
      </c>
      <c r="O406" s="97">
        <v>100911.24</v>
      </c>
      <c r="P406" s="1">
        <v>0</v>
      </c>
      <c r="Q406" s="1">
        <v>0</v>
      </c>
      <c r="R406" s="1">
        <v>0</v>
      </c>
      <c r="S406" s="1">
        <f t="shared" si="81"/>
        <v>9328057.3300000001</v>
      </c>
      <c r="T406" s="79">
        <v>2021</v>
      </c>
      <c r="U406" s="79">
        <v>2021</v>
      </c>
    </row>
    <row r="407" spans="1:21" ht="15.75">
      <c r="A407" s="126">
        <f t="shared" si="82"/>
        <v>20</v>
      </c>
      <c r="B407" s="186" t="s">
        <v>392</v>
      </c>
      <c r="C407" s="99">
        <v>1979</v>
      </c>
      <c r="D407" s="79"/>
      <c r="E407" s="79"/>
      <c r="F407" s="29">
        <v>4856.1000000000004</v>
      </c>
      <c r="G407" s="29">
        <v>4354.1000000000004</v>
      </c>
      <c r="H407" s="1">
        <f t="shared" si="80"/>
        <v>754507.34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97">
        <v>754507.34</v>
      </c>
      <c r="P407" s="1">
        <v>0</v>
      </c>
      <c r="Q407" s="1">
        <v>0</v>
      </c>
      <c r="R407" s="1">
        <v>0</v>
      </c>
      <c r="S407" s="1">
        <f t="shared" si="81"/>
        <v>754507.34</v>
      </c>
      <c r="T407" s="79">
        <v>2021</v>
      </c>
      <c r="U407" s="79">
        <v>2022</v>
      </c>
    </row>
    <row r="408" spans="1:21" ht="15.75">
      <c r="A408" s="126">
        <f t="shared" si="82"/>
        <v>21</v>
      </c>
      <c r="B408" s="186" t="s">
        <v>393</v>
      </c>
      <c r="C408" s="99">
        <v>1965</v>
      </c>
      <c r="D408" s="79"/>
      <c r="E408" s="79"/>
      <c r="F408" s="29">
        <v>3780.3</v>
      </c>
      <c r="G408" s="29">
        <v>3476.5</v>
      </c>
      <c r="H408" s="1">
        <f t="shared" si="80"/>
        <v>705702.46</v>
      </c>
      <c r="I408" s="1"/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97">
        <v>705702.46</v>
      </c>
      <c r="P408" s="1">
        <v>0</v>
      </c>
      <c r="Q408" s="1">
        <v>0</v>
      </c>
      <c r="R408" s="1">
        <v>0</v>
      </c>
      <c r="S408" s="1">
        <f t="shared" si="81"/>
        <v>705702.46</v>
      </c>
      <c r="T408" s="79">
        <v>2021</v>
      </c>
      <c r="U408" s="79">
        <v>2022</v>
      </c>
    </row>
    <row r="409" spans="1:21" ht="15.75">
      <c r="A409" s="301" t="s">
        <v>383</v>
      </c>
      <c r="B409" s="303"/>
      <c r="C409" s="81"/>
      <c r="D409" s="79"/>
      <c r="E409" s="79"/>
      <c r="F409" s="14">
        <f t="shared" ref="F409:S409" si="83">SUM(F400:F408)</f>
        <v>34654.400000000001</v>
      </c>
      <c r="G409" s="14">
        <f t="shared" si="83"/>
        <v>31342.400000000001</v>
      </c>
      <c r="H409" s="15">
        <f t="shared" si="83"/>
        <v>65146251.670000002</v>
      </c>
      <c r="I409" s="15">
        <f t="shared" si="83"/>
        <v>0</v>
      </c>
      <c r="J409" s="15">
        <f t="shared" si="83"/>
        <v>0</v>
      </c>
      <c r="K409" s="15">
        <f t="shared" si="83"/>
        <v>62973079.950000003</v>
      </c>
      <c r="L409" s="15">
        <f t="shared" si="83"/>
        <v>0</v>
      </c>
      <c r="M409" s="15">
        <f t="shared" si="83"/>
        <v>0</v>
      </c>
      <c r="N409" s="15">
        <f t="shared" si="83"/>
        <v>0</v>
      </c>
      <c r="O409" s="15">
        <f t="shared" si="83"/>
        <v>2173171.7200000002</v>
      </c>
      <c r="P409" s="15">
        <f t="shared" si="83"/>
        <v>0</v>
      </c>
      <c r="Q409" s="15">
        <f t="shared" si="83"/>
        <v>0</v>
      </c>
      <c r="R409" s="15">
        <f t="shared" si="83"/>
        <v>0</v>
      </c>
      <c r="S409" s="15">
        <f t="shared" si="83"/>
        <v>65146251.670000002</v>
      </c>
      <c r="T409" s="16" t="s">
        <v>31</v>
      </c>
      <c r="U409" s="16" t="s">
        <v>31</v>
      </c>
    </row>
    <row r="410" spans="1:21" ht="15.75">
      <c r="A410" s="298" t="s">
        <v>394</v>
      </c>
      <c r="B410" s="299"/>
      <c r="C410" s="299"/>
      <c r="D410" s="299"/>
      <c r="E410" s="299"/>
      <c r="F410" s="299"/>
      <c r="G410" s="299"/>
      <c r="H410" s="299"/>
      <c r="I410" s="299"/>
      <c r="J410" s="299"/>
      <c r="K410" s="299"/>
      <c r="L410" s="299"/>
      <c r="M410" s="299"/>
      <c r="N410" s="299"/>
      <c r="O410" s="299"/>
      <c r="P410" s="299"/>
      <c r="Q410" s="299"/>
      <c r="R410" s="299"/>
      <c r="S410" s="299"/>
      <c r="T410" s="299"/>
      <c r="U410" s="300"/>
    </row>
    <row r="411" spans="1:21" ht="15.75">
      <c r="A411" s="79">
        <f>A408+1</f>
        <v>22</v>
      </c>
      <c r="B411" s="191" t="s">
        <v>68</v>
      </c>
      <c r="C411" s="99">
        <v>1936</v>
      </c>
      <c r="D411" s="100"/>
      <c r="E411" s="100"/>
      <c r="F411" s="101">
        <v>1867.7</v>
      </c>
      <c r="G411" s="102">
        <v>1536.8</v>
      </c>
      <c r="H411" s="30">
        <f>I411+J411+K411+L411+M411+N411+O411</f>
        <v>128223.92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31">
        <v>128223.92</v>
      </c>
      <c r="P411" s="1">
        <v>0</v>
      </c>
      <c r="Q411" s="1">
        <v>0</v>
      </c>
      <c r="R411" s="1">
        <v>0</v>
      </c>
      <c r="S411" s="103">
        <f t="shared" ref="S411:S420" si="84">H411</f>
        <v>128223.92</v>
      </c>
      <c r="T411" s="79">
        <v>2020</v>
      </c>
      <c r="U411" s="79">
        <v>2022</v>
      </c>
    </row>
    <row r="412" spans="1:21" ht="15.75">
      <c r="A412" s="79">
        <f t="shared" ref="A412:A420" si="85">A411+1</f>
        <v>23</v>
      </c>
      <c r="B412" s="191" t="s">
        <v>396</v>
      </c>
      <c r="C412" s="99">
        <v>1969</v>
      </c>
      <c r="D412" s="100"/>
      <c r="E412" s="100"/>
      <c r="F412" s="101">
        <v>3494.1</v>
      </c>
      <c r="G412" s="102">
        <v>2681.9</v>
      </c>
      <c r="H412" s="1">
        <f>I412+J412+K412+L412+M412+N412+O412</f>
        <v>9896029</v>
      </c>
      <c r="I412" s="1">
        <v>0</v>
      </c>
      <c r="J412" s="1">
        <v>0</v>
      </c>
      <c r="K412" s="1">
        <f>3517.3*G412*1.015</f>
        <v>9574542.5700000003</v>
      </c>
      <c r="L412" s="1">
        <v>0</v>
      </c>
      <c r="M412" s="1">
        <v>0</v>
      </c>
      <c r="N412" s="1">
        <v>0</v>
      </c>
      <c r="O412" s="1">
        <v>321486.43</v>
      </c>
      <c r="P412" s="1">
        <v>0</v>
      </c>
      <c r="Q412" s="1">
        <v>0</v>
      </c>
      <c r="R412" s="1">
        <v>0</v>
      </c>
      <c r="S412" s="103">
        <f t="shared" si="84"/>
        <v>9896029</v>
      </c>
      <c r="T412" s="79">
        <v>2021</v>
      </c>
      <c r="U412" s="79">
        <v>2022</v>
      </c>
    </row>
    <row r="413" spans="1:21" ht="15.75">
      <c r="A413" s="79">
        <f t="shared" si="85"/>
        <v>24</v>
      </c>
      <c r="B413" s="191" t="s">
        <v>395</v>
      </c>
      <c r="C413" s="99">
        <v>1959</v>
      </c>
      <c r="D413" s="100"/>
      <c r="E413" s="100"/>
      <c r="F413" s="101">
        <v>3234.7</v>
      </c>
      <c r="G413" s="102">
        <v>2537.8000000000002</v>
      </c>
      <c r="H413" s="1">
        <f>I413+J413+K413+L413+M413+N413+O413</f>
        <v>254792.32000000001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f>234317.38+20474.94</f>
        <v>254792.32000000001</v>
      </c>
      <c r="P413" s="1">
        <v>0</v>
      </c>
      <c r="Q413" s="1">
        <v>0</v>
      </c>
      <c r="R413" s="1">
        <v>0</v>
      </c>
      <c r="S413" s="103">
        <f t="shared" si="84"/>
        <v>254792.32000000001</v>
      </c>
      <c r="T413" s="79">
        <v>2021</v>
      </c>
      <c r="U413" s="79">
        <v>2021</v>
      </c>
    </row>
    <row r="414" spans="1:21" ht="15.75">
      <c r="A414" s="79">
        <f t="shared" si="85"/>
        <v>25</v>
      </c>
      <c r="B414" s="255" t="s">
        <v>63</v>
      </c>
      <c r="C414" s="99">
        <v>1953</v>
      </c>
      <c r="D414" s="100"/>
      <c r="E414" s="100"/>
      <c r="F414" s="101">
        <v>5543.5</v>
      </c>
      <c r="G414" s="102">
        <v>4717.3</v>
      </c>
      <c r="H414" s="1">
        <f>I414+N414+O414+M414+L414+K414+J414</f>
        <v>23775546.789999999</v>
      </c>
      <c r="I414" s="1">
        <f>17279706.92*1.015</f>
        <v>17538902.52</v>
      </c>
      <c r="J414" s="1">
        <v>0</v>
      </c>
      <c r="K414" s="1">
        <v>0</v>
      </c>
      <c r="L414" s="1">
        <v>5280263.45</v>
      </c>
      <c r="M414" s="1"/>
      <c r="N414" s="1">
        <v>739755.19</v>
      </c>
      <c r="O414" s="1">
        <f>199217.74+17407.89</f>
        <v>216625.63</v>
      </c>
      <c r="P414" s="1">
        <v>0</v>
      </c>
      <c r="Q414" s="1">
        <v>0</v>
      </c>
      <c r="R414" s="1">
        <v>0</v>
      </c>
      <c r="S414" s="103">
        <f t="shared" si="84"/>
        <v>23775546.789999999</v>
      </c>
      <c r="T414" s="79">
        <v>2021</v>
      </c>
      <c r="U414" s="79" t="s">
        <v>792</v>
      </c>
    </row>
    <row r="415" spans="1:21" ht="15.75">
      <c r="A415" s="79">
        <f t="shared" si="85"/>
        <v>26</v>
      </c>
      <c r="B415" s="255" t="s">
        <v>397</v>
      </c>
      <c r="C415" s="99">
        <v>1949</v>
      </c>
      <c r="D415" s="100"/>
      <c r="E415" s="95"/>
      <c r="F415" s="102">
        <v>7532.3</v>
      </c>
      <c r="G415" s="102">
        <v>5486.8</v>
      </c>
      <c r="H415" s="1">
        <f>I415+J415+K415+L415+M415+N415+O415+P415+Q415+R415</f>
        <v>3706905.67</v>
      </c>
      <c r="I415" s="1">
        <f>ROUND(G415*665.62*1.015,2)</f>
        <v>3706905.67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03">
        <f t="shared" si="84"/>
        <v>3706905.67</v>
      </c>
      <c r="T415" s="79">
        <v>2021</v>
      </c>
      <c r="U415" s="79">
        <v>2021</v>
      </c>
    </row>
    <row r="416" spans="1:21" ht="15.75">
      <c r="A416" s="79">
        <f t="shared" si="85"/>
        <v>27</v>
      </c>
      <c r="B416" s="269" t="s">
        <v>58</v>
      </c>
      <c r="C416" s="99">
        <v>1936</v>
      </c>
      <c r="D416" s="95"/>
      <c r="E416" s="95"/>
      <c r="F416" s="104">
        <v>4657</v>
      </c>
      <c r="G416" s="104">
        <v>3505.7</v>
      </c>
      <c r="H416" s="1">
        <f>I416+J416+K416+L416+M416+N416+O416</f>
        <v>7607056.6900000004</v>
      </c>
      <c r="I416" s="1">
        <v>0</v>
      </c>
      <c r="J416" s="1">
        <v>0</v>
      </c>
      <c r="K416" s="1">
        <v>0</v>
      </c>
      <c r="L416" s="1">
        <f>ROUND(1954.25*3505.7,2)*1.015</f>
        <v>6953779.4400000004</v>
      </c>
      <c r="M416" s="1">
        <v>0</v>
      </c>
      <c r="N416" s="1">
        <f>453390*1.015</f>
        <v>460190.85</v>
      </c>
      <c r="O416" s="1">
        <f>177570.11+15516.29</f>
        <v>193086.4</v>
      </c>
      <c r="P416" s="1">
        <v>0</v>
      </c>
      <c r="Q416" s="1">
        <v>0</v>
      </c>
      <c r="R416" s="1">
        <v>0</v>
      </c>
      <c r="S416" s="103">
        <f t="shared" si="84"/>
        <v>7607056.6900000004</v>
      </c>
      <c r="T416" s="79">
        <v>2021</v>
      </c>
      <c r="U416" s="79">
        <v>2021</v>
      </c>
    </row>
    <row r="417" spans="1:21" ht="15.75">
      <c r="A417" s="79">
        <f t="shared" si="85"/>
        <v>28</v>
      </c>
      <c r="B417" s="191" t="s">
        <v>398</v>
      </c>
      <c r="C417" s="99">
        <v>1959</v>
      </c>
      <c r="D417" s="100"/>
      <c r="E417" s="100"/>
      <c r="F417" s="101">
        <v>4072.5</v>
      </c>
      <c r="G417" s="102">
        <v>3705.3</v>
      </c>
      <c r="H417" s="1">
        <f>I417+J417+K417+L417+M417+N417+O417</f>
        <v>245954.67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245954.67</v>
      </c>
      <c r="P417" s="1">
        <v>0</v>
      </c>
      <c r="Q417" s="1">
        <v>0</v>
      </c>
      <c r="R417" s="1">
        <v>0</v>
      </c>
      <c r="S417" s="103">
        <f t="shared" si="84"/>
        <v>245954.67</v>
      </c>
      <c r="T417" s="79">
        <v>2021</v>
      </c>
      <c r="U417" s="79">
        <v>2021</v>
      </c>
    </row>
    <row r="418" spans="1:21" ht="15.75">
      <c r="A418" s="79">
        <f t="shared" si="85"/>
        <v>29</v>
      </c>
      <c r="B418" s="265" t="s">
        <v>399</v>
      </c>
      <c r="C418" s="99">
        <v>1958</v>
      </c>
      <c r="D418" s="100"/>
      <c r="E418" s="100"/>
      <c r="F418" s="101">
        <v>6607.1</v>
      </c>
      <c r="G418" s="103">
        <v>4082</v>
      </c>
      <c r="H418" s="1">
        <f>K418+O418</f>
        <v>24757166.52</v>
      </c>
      <c r="I418" s="1">
        <v>0</v>
      </c>
      <c r="J418" s="1">
        <v>0</v>
      </c>
      <c r="K418" s="1">
        <f>ROUND(G418*5975.33*1.015,2)</f>
        <v>24757166.52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03">
        <f t="shared" si="84"/>
        <v>24757166.52</v>
      </c>
      <c r="T418" s="79">
        <v>2020</v>
      </c>
      <c r="U418" s="79">
        <v>2021</v>
      </c>
    </row>
    <row r="419" spans="1:21" ht="15.75">
      <c r="A419" s="79">
        <f t="shared" si="85"/>
        <v>30</v>
      </c>
      <c r="B419" s="191" t="s">
        <v>69</v>
      </c>
      <c r="C419" s="99" t="s">
        <v>70</v>
      </c>
      <c r="D419" s="100"/>
      <c r="E419" s="100"/>
      <c r="F419" s="101">
        <v>5029.5</v>
      </c>
      <c r="G419" s="102">
        <v>4129</v>
      </c>
      <c r="H419" s="1">
        <f>K419+O419+M419</f>
        <v>241081.26</v>
      </c>
      <c r="I419" s="1">
        <v>0</v>
      </c>
      <c r="J419" s="1">
        <v>0</v>
      </c>
      <c r="K419" s="1">
        <v>0</v>
      </c>
      <c r="L419" s="1">
        <v>0</v>
      </c>
      <c r="M419" s="174"/>
      <c r="N419" s="1">
        <v>0</v>
      </c>
      <c r="O419" s="1">
        <v>241081.26</v>
      </c>
      <c r="P419" s="1">
        <v>0</v>
      </c>
      <c r="Q419" s="1">
        <v>0</v>
      </c>
      <c r="R419" s="1">
        <v>0</v>
      </c>
      <c r="S419" s="103">
        <f t="shared" si="84"/>
        <v>241081.26</v>
      </c>
      <c r="T419" s="79">
        <v>2021</v>
      </c>
      <c r="U419" s="79">
        <v>2022</v>
      </c>
    </row>
    <row r="420" spans="1:21" ht="15.75">
      <c r="A420" s="79">
        <f t="shared" si="85"/>
        <v>31</v>
      </c>
      <c r="B420" s="191" t="s">
        <v>400</v>
      </c>
      <c r="C420" s="99">
        <v>1956</v>
      </c>
      <c r="D420" s="100"/>
      <c r="E420" s="100"/>
      <c r="F420" s="101">
        <v>4460.5</v>
      </c>
      <c r="G420" s="102">
        <v>3708.9</v>
      </c>
      <c r="H420" s="1">
        <f>K420+O420</f>
        <v>1144404.21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f>1052440.64+91963.57</f>
        <v>1144404.21</v>
      </c>
      <c r="P420" s="1">
        <v>0</v>
      </c>
      <c r="Q420" s="1">
        <v>0</v>
      </c>
      <c r="R420" s="1">
        <v>0</v>
      </c>
      <c r="S420" s="103">
        <f t="shared" si="84"/>
        <v>1144404.21</v>
      </c>
      <c r="T420" s="79">
        <v>2021</v>
      </c>
      <c r="U420" s="79">
        <v>2021</v>
      </c>
    </row>
    <row r="421" spans="1:21" ht="15.75">
      <c r="A421" s="301" t="s">
        <v>383</v>
      </c>
      <c r="B421" s="303"/>
      <c r="C421" s="83"/>
      <c r="D421" s="116"/>
      <c r="E421" s="116"/>
      <c r="F421" s="14">
        <f t="shared" ref="F421:S421" si="86">SUM(F411:F420)</f>
        <v>46498.9</v>
      </c>
      <c r="G421" s="14">
        <f t="shared" si="86"/>
        <v>36091.5</v>
      </c>
      <c r="H421" s="15">
        <f t="shared" si="86"/>
        <v>71757161.049999997</v>
      </c>
      <c r="I421" s="15">
        <f t="shared" si="86"/>
        <v>21245808.190000001</v>
      </c>
      <c r="J421" s="15">
        <f t="shared" si="86"/>
        <v>0</v>
      </c>
      <c r="K421" s="15">
        <f t="shared" si="86"/>
        <v>34331709.090000004</v>
      </c>
      <c r="L421" s="15">
        <f t="shared" si="86"/>
        <v>12234042.890000001</v>
      </c>
      <c r="M421" s="15">
        <f t="shared" si="86"/>
        <v>0</v>
      </c>
      <c r="N421" s="15">
        <f t="shared" si="86"/>
        <v>1199946.04</v>
      </c>
      <c r="O421" s="15">
        <f t="shared" si="86"/>
        <v>2745654.84</v>
      </c>
      <c r="P421" s="15">
        <f t="shared" si="86"/>
        <v>0</v>
      </c>
      <c r="Q421" s="15">
        <f t="shared" si="86"/>
        <v>0</v>
      </c>
      <c r="R421" s="15">
        <f t="shared" si="86"/>
        <v>0</v>
      </c>
      <c r="S421" s="15">
        <f t="shared" si="86"/>
        <v>71757161.049999997</v>
      </c>
      <c r="T421" s="16" t="s">
        <v>31</v>
      </c>
      <c r="U421" s="16" t="s">
        <v>31</v>
      </c>
    </row>
    <row r="422" spans="1:21" ht="15.75">
      <c r="A422" s="298" t="s">
        <v>401</v>
      </c>
      <c r="B422" s="299"/>
      <c r="C422" s="299"/>
      <c r="D422" s="299"/>
      <c r="E422" s="299"/>
      <c r="F422" s="299"/>
      <c r="G422" s="299"/>
      <c r="H422" s="299"/>
      <c r="I422" s="299"/>
      <c r="J422" s="299"/>
      <c r="K422" s="299"/>
      <c r="L422" s="299"/>
      <c r="M422" s="299"/>
      <c r="N422" s="299"/>
      <c r="O422" s="299"/>
      <c r="P422" s="299"/>
      <c r="Q422" s="299"/>
      <c r="R422" s="299"/>
      <c r="S422" s="299"/>
      <c r="T422" s="299"/>
      <c r="U422" s="300"/>
    </row>
    <row r="423" spans="1:21" ht="15.75">
      <c r="A423" s="79">
        <f>A420+1</f>
        <v>32</v>
      </c>
      <c r="B423" s="186" t="s">
        <v>402</v>
      </c>
      <c r="C423" s="105">
        <v>1967</v>
      </c>
      <c r="D423" s="79"/>
      <c r="E423" s="106"/>
      <c r="F423" s="90">
        <v>3726.8</v>
      </c>
      <c r="G423" s="90">
        <v>3431.8</v>
      </c>
      <c r="H423" s="1">
        <f t="shared" ref="H423:H431" si="87">I423+J423+K423+L423+M423+N423+O423</f>
        <v>9136883.1999999993</v>
      </c>
      <c r="I423" s="127">
        <f>(9001855.37)*1.015</f>
        <v>9136883.1999999993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40">
        <v>686813.54</v>
      </c>
      <c r="S423" s="1">
        <v>8450069.6600000001</v>
      </c>
      <c r="T423" s="79">
        <v>2021</v>
      </c>
      <c r="U423" s="79">
        <v>2021</v>
      </c>
    </row>
    <row r="424" spans="1:21" ht="15.75">
      <c r="A424" s="79">
        <f t="shared" ref="A424:A431" si="88">A423+1</f>
        <v>33</v>
      </c>
      <c r="B424" s="186" t="s">
        <v>78</v>
      </c>
      <c r="C424" s="95">
        <v>1968</v>
      </c>
      <c r="D424" s="89"/>
      <c r="E424" s="89"/>
      <c r="F424" s="90">
        <v>4063</v>
      </c>
      <c r="G424" s="90">
        <v>3731.6</v>
      </c>
      <c r="H424" s="1">
        <f t="shared" si="87"/>
        <v>19633125.629999999</v>
      </c>
      <c r="I424" s="127">
        <f>(11470949.17)*1.015</f>
        <v>11643013.41</v>
      </c>
      <c r="J424" s="1">
        <v>0</v>
      </c>
      <c r="K424" s="1">
        <f>7511102.77*1.015</f>
        <v>7623769.3099999996</v>
      </c>
      <c r="L424" s="1">
        <v>0</v>
      </c>
      <c r="M424" s="1">
        <v>0</v>
      </c>
      <c r="N424" s="1">
        <v>0</v>
      </c>
      <c r="O424" s="1">
        <v>366342.91</v>
      </c>
      <c r="P424" s="1">
        <v>0</v>
      </c>
      <c r="Q424" s="1">
        <v>0</v>
      </c>
      <c r="R424" s="40">
        <v>1568110.19</v>
      </c>
      <c r="S424" s="1">
        <v>18065015.440000001</v>
      </c>
      <c r="T424" s="79">
        <v>2020</v>
      </c>
      <c r="U424" s="79">
        <v>2021</v>
      </c>
    </row>
    <row r="425" spans="1:21" ht="15.75">
      <c r="A425" s="79">
        <f t="shared" si="88"/>
        <v>34</v>
      </c>
      <c r="B425" s="186" t="s">
        <v>80</v>
      </c>
      <c r="C425" s="105">
        <v>1970</v>
      </c>
      <c r="D425" s="79"/>
      <c r="E425" s="106"/>
      <c r="F425" s="90">
        <v>5219.2</v>
      </c>
      <c r="G425" s="90">
        <v>4823.1000000000004</v>
      </c>
      <c r="H425" s="1">
        <f t="shared" si="87"/>
        <v>14348919.82</v>
      </c>
      <c r="I425" s="127">
        <f>(14136866.82)*1.015</f>
        <v>14348919.82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40">
        <v>1116770.3799999999</v>
      </c>
      <c r="S425" s="1">
        <v>13232149.439999999</v>
      </c>
      <c r="T425" s="79">
        <v>2020</v>
      </c>
      <c r="U425" s="79">
        <v>2021</v>
      </c>
    </row>
    <row r="426" spans="1:21" ht="15.75">
      <c r="A426" s="79">
        <f t="shared" si="88"/>
        <v>35</v>
      </c>
      <c r="B426" s="186" t="s">
        <v>81</v>
      </c>
      <c r="C426" s="95">
        <v>1939</v>
      </c>
      <c r="D426" s="89"/>
      <c r="E426" s="89"/>
      <c r="F426" s="90">
        <v>2807.9</v>
      </c>
      <c r="G426" s="90">
        <v>2535.1999999999998</v>
      </c>
      <c r="H426" s="1">
        <f t="shared" si="87"/>
        <v>4870946.5199999996</v>
      </c>
      <c r="I426" s="127">
        <f>(4798962.09)*1.015</f>
        <v>4870946.5199999996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40">
        <v>322568.56</v>
      </c>
      <c r="S426" s="1">
        <v>4548377.96</v>
      </c>
      <c r="T426" s="79">
        <v>2020</v>
      </c>
      <c r="U426" s="79">
        <v>2021</v>
      </c>
    </row>
    <row r="427" spans="1:21" ht="15.75">
      <c r="A427" s="79">
        <f t="shared" si="88"/>
        <v>36</v>
      </c>
      <c r="B427" s="186" t="s">
        <v>403</v>
      </c>
      <c r="C427" s="95">
        <v>1956</v>
      </c>
      <c r="D427" s="89"/>
      <c r="E427" s="89"/>
      <c r="F427" s="90">
        <v>1038.0999999999999</v>
      </c>
      <c r="G427" s="90">
        <v>920.9</v>
      </c>
      <c r="H427" s="1">
        <f t="shared" si="87"/>
        <v>5742488.2199999997</v>
      </c>
      <c r="I427" s="1">
        <v>0</v>
      </c>
      <c r="J427" s="1">
        <v>0</v>
      </c>
      <c r="K427" s="1">
        <f>5470073.91*1.015</f>
        <v>5552125.0199999996</v>
      </c>
      <c r="L427" s="1">
        <v>0</v>
      </c>
      <c r="M427" s="1">
        <v>0</v>
      </c>
      <c r="N427" s="1">
        <v>0</v>
      </c>
      <c r="O427" s="1">
        <v>190363.2</v>
      </c>
      <c r="P427" s="1">
        <v>0</v>
      </c>
      <c r="Q427" s="1">
        <v>0</v>
      </c>
      <c r="R427" s="1">
        <v>0</v>
      </c>
      <c r="S427" s="1">
        <f>H427</f>
        <v>5742488.2199999997</v>
      </c>
      <c r="T427" s="79">
        <v>2021</v>
      </c>
      <c r="U427" s="79">
        <v>2022</v>
      </c>
    </row>
    <row r="428" spans="1:21" ht="15.75">
      <c r="A428" s="79">
        <f t="shared" si="88"/>
        <v>37</v>
      </c>
      <c r="B428" s="186" t="s">
        <v>404</v>
      </c>
      <c r="C428" s="95" t="s">
        <v>405</v>
      </c>
      <c r="D428" s="89"/>
      <c r="E428" s="89"/>
      <c r="F428" s="90">
        <v>17847.7</v>
      </c>
      <c r="G428" s="90">
        <v>15428.7</v>
      </c>
      <c r="H428" s="1">
        <f t="shared" si="87"/>
        <v>4466381.0199999996</v>
      </c>
      <c r="I428" s="1">
        <v>0</v>
      </c>
      <c r="J428" s="1">
        <f>4250729.99*1.015</f>
        <v>4314490.9400000004</v>
      </c>
      <c r="K428" s="1">
        <v>0</v>
      </c>
      <c r="L428" s="1">
        <v>0</v>
      </c>
      <c r="M428" s="1">
        <v>0</v>
      </c>
      <c r="N428" s="1">
        <v>0</v>
      </c>
      <c r="O428" s="1">
        <v>151890.07999999999</v>
      </c>
      <c r="P428" s="1">
        <v>0</v>
      </c>
      <c r="Q428" s="1">
        <v>0</v>
      </c>
      <c r="R428" s="1">
        <v>0</v>
      </c>
      <c r="S428" s="1">
        <f>H428</f>
        <v>4466381.0199999996</v>
      </c>
      <c r="T428" s="79">
        <v>2021</v>
      </c>
      <c r="U428" s="79">
        <v>2021</v>
      </c>
    </row>
    <row r="429" spans="1:21" ht="15.75">
      <c r="A429" s="79">
        <f t="shared" si="88"/>
        <v>38</v>
      </c>
      <c r="B429" s="186" t="s">
        <v>406</v>
      </c>
      <c r="C429" s="95">
        <v>1966</v>
      </c>
      <c r="D429" s="89"/>
      <c r="E429" s="89"/>
      <c r="F429" s="90">
        <v>1436</v>
      </c>
      <c r="G429" s="90">
        <v>881.5</v>
      </c>
      <c r="H429" s="1">
        <f t="shared" si="87"/>
        <v>6882205.4699999997</v>
      </c>
      <c r="I429" s="1">
        <v>0</v>
      </c>
      <c r="J429" s="1">
        <v>0</v>
      </c>
      <c r="K429" s="1">
        <f>6583633.78*1.015</f>
        <v>6682388.29</v>
      </c>
      <c r="L429" s="1">
        <v>0</v>
      </c>
      <c r="M429" s="1">
        <v>0</v>
      </c>
      <c r="N429" s="1">
        <v>0</v>
      </c>
      <c r="O429" s="1">
        <v>199817.18</v>
      </c>
      <c r="P429" s="1">
        <v>0</v>
      </c>
      <c r="Q429" s="1">
        <v>0</v>
      </c>
      <c r="R429" s="1">
        <v>0</v>
      </c>
      <c r="S429" s="1">
        <f>H429</f>
        <v>6882205.4699999997</v>
      </c>
      <c r="T429" s="79">
        <v>2021</v>
      </c>
      <c r="U429" s="79">
        <v>2022</v>
      </c>
    </row>
    <row r="430" spans="1:21" ht="15.75">
      <c r="A430" s="79">
        <f t="shared" si="88"/>
        <v>39</v>
      </c>
      <c r="B430" s="186" t="s">
        <v>407</v>
      </c>
      <c r="C430" s="95">
        <v>1977</v>
      </c>
      <c r="D430" s="89"/>
      <c r="E430" s="89"/>
      <c r="F430" s="90">
        <v>3926.8</v>
      </c>
      <c r="G430" s="90">
        <v>3438.6</v>
      </c>
      <c r="H430" s="1">
        <f t="shared" si="87"/>
        <v>1308183.02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v>1308183.02</v>
      </c>
      <c r="P430" s="1">
        <v>0</v>
      </c>
      <c r="Q430" s="1">
        <v>0</v>
      </c>
      <c r="R430" s="1">
        <v>0</v>
      </c>
      <c r="S430" s="1">
        <f>H430</f>
        <v>1308183.02</v>
      </c>
      <c r="T430" s="79">
        <v>2021</v>
      </c>
      <c r="U430" s="79">
        <v>2021</v>
      </c>
    </row>
    <row r="431" spans="1:21" ht="15.75">
      <c r="A431" s="79">
        <f t="shared" si="88"/>
        <v>40</v>
      </c>
      <c r="B431" s="186" t="s">
        <v>408</v>
      </c>
      <c r="C431" s="95">
        <v>1976</v>
      </c>
      <c r="D431" s="89"/>
      <c r="E431" s="89"/>
      <c r="F431" s="90">
        <v>3924.6</v>
      </c>
      <c r="G431" s="90">
        <v>3443.8</v>
      </c>
      <c r="H431" s="1">
        <f t="shared" si="87"/>
        <v>1254476.05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v>1254476.05</v>
      </c>
      <c r="P431" s="1">
        <v>0</v>
      </c>
      <c r="Q431" s="1">
        <v>0</v>
      </c>
      <c r="R431" s="1">
        <v>0</v>
      </c>
      <c r="S431" s="1">
        <f>H431</f>
        <v>1254476.05</v>
      </c>
      <c r="T431" s="79">
        <v>2021</v>
      </c>
      <c r="U431" s="79">
        <v>2021</v>
      </c>
    </row>
    <row r="432" spans="1:21" ht="15.75">
      <c r="A432" s="301" t="s">
        <v>383</v>
      </c>
      <c r="B432" s="303"/>
      <c r="C432" s="81"/>
      <c r="D432" s="79"/>
      <c r="E432" s="79"/>
      <c r="F432" s="15">
        <f t="shared" ref="F432:S432" si="89">SUM(F423:F431)</f>
        <v>43990.1</v>
      </c>
      <c r="G432" s="15">
        <f t="shared" si="89"/>
        <v>38635.199999999997</v>
      </c>
      <c r="H432" s="27">
        <f t="shared" si="89"/>
        <v>67643608.950000003</v>
      </c>
      <c r="I432" s="27">
        <f t="shared" si="89"/>
        <v>39999762.950000003</v>
      </c>
      <c r="J432" s="27">
        <f t="shared" si="89"/>
        <v>4314490.9400000004</v>
      </c>
      <c r="K432" s="27">
        <f t="shared" si="89"/>
        <v>19858282.620000001</v>
      </c>
      <c r="L432" s="15">
        <f t="shared" si="89"/>
        <v>0</v>
      </c>
      <c r="M432" s="15">
        <f t="shared" si="89"/>
        <v>0</v>
      </c>
      <c r="N432" s="15">
        <f t="shared" si="89"/>
        <v>0</v>
      </c>
      <c r="O432" s="15">
        <f t="shared" si="89"/>
        <v>3471072.44</v>
      </c>
      <c r="P432" s="15">
        <f t="shared" si="89"/>
        <v>0</v>
      </c>
      <c r="Q432" s="15">
        <f t="shared" si="89"/>
        <v>0</v>
      </c>
      <c r="R432" s="15">
        <f t="shared" si="89"/>
        <v>3694262.67</v>
      </c>
      <c r="S432" s="27">
        <f t="shared" si="89"/>
        <v>63949346.280000001</v>
      </c>
      <c r="T432" s="16" t="s">
        <v>31</v>
      </c>
      <c r="U432" s="16" t="s">
        <v>31</v>
      </c>
    </row>
    <row r="433" spans="1:21" ht="15.75">
      <c r="A433" s="308" t="s">
        <v>409</v>
      </c>
      <c r="B433" s="309"/>
      <c r="C433" s="309"/>
      <c r="D433" s="309"/>
      <c r="E433" s="309"/>
      <c r="F433" s="309"/>
      <c r="G433" s="309"/>
      <c r="H433" s="309"/>
      <c r="I433" s="309"/>
      <c r="J433" s="309"/>
      <c r="K433" s="309"/>
      <c r="L433" s="309"/>
      <c r="M433" s="309"/>
      <c r="N433" s="309"/>
      <c r="O433" s="309"/>
      <c r="P433" s="309"/>
      <c r="Q433" s="309"/>
      <c r="R433" s="309"/>
      <c r="S433" s="309"/>
      <c r="T433" s="309"/>
      <c r="U433" s="310"/>
    </row>
    <row r="434" spans="1:21" ht="15.75">
      <c r="A434" s="128">
        <f>A431+1</f>
        <v>41</v>
      </c>
      <c r="B434" s="186" t="s">
        <v>429</v>
      </c>
      <c r="C434" s="81">
        <v>1960</v>
      </c>
      <c r="D434" s="79"/>
      <c r="E434" s="79"/>
      <c r="F434" s="101">
        <v>675.7</v>
      </c>
      <c r="G434" s="101">
        <v>634.1</v>
      </c>
      <c r="H434" s="2">
        <f t="shared" ref="H434:H464" si="90">I434+J434+K434+L434+M434+N434+O434</f>
        <v>343505.71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1">
        <v>343505.71</v>
      </c>
      <c r="P434" s="3">
        <v>0</v>
      </c>
      <c r="Q434" s="3">
        <v>0</v>
      </c>
      <c r="R434" s="3">
        <v>0</v>
      </c>
      <c r="S434" s="1">
        <f>H434</f>
        <v>343505.71</v>
      </c>
      <c r="T434" s="79">
        <v>2021</v>
      </c>
      <c r="U434" s="79">
        <v>2022</v>
      </c>
    </row>
    <row r="435" spans="1:21" ht="15.75">
      <c r="A435" s="79">
        <f t="shared" ref="A435:A465" si="91">A434+1</f>
        <v>42</v>
      </c>
      <c r="B435" s="186" t="s">
        <v>460</v>
      </c>
      <c r="C435" s="81">
        <v>1974</v>
      </c>
      <c r="D435" s="79"/>
      <c r="E435" s="79"/>
      <c r="F435" s="101">
        <v>4737.7</v>
      </c>
      <c r="G435" s="101">
        <v>4096.6000000000004</v>
      </c>
      <c r="H435" s="1">
        <f t="shared" si="90"/>
        <v>1095955.1000000001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1095955.1000000001</v>
      </c>
      <c r="P435" s="1">
        <v>0</v>
      </c>
      <c r="Q435" s="1">
        <v>0</v>
      </c>
      <c r="R435" s="1">
        <v>0</v>
      </c>
      <c r="S435" s="13">
        <f>H435</f>
        <v>1095955.1000000001</v>
      </c>
      <c r="T435" s="79">
        <v>2021</v>
      </c>
      <c r="U435" s="79">
        <v>2022</v>
      </c>
    </row>
    <row r="436" spans="1:21" ht="15.75">
      <c r="A436" s="79">
        <f t="shared" si="91"/>
        <v>43</v>
      </c>
      <c r="B436" s="186" t="s">
        <v>432</v>
      </c>
      <c r="C436" s="81">
        <v>1960</v>
      </c>
      <c r="D436" s="79"/>
      <c r="E436" s="79"/>
      <c r="F436" s="101">
        <v>2707.4</v>
      </c>
      <c r="G436" s="101">
        <v>2281.5</v>
      </c>
      <c r="H436" s="2">
        <f t="shared" si="90"/>
        <v>876232.39</v>
      </c>
      <c r="I436" s="3">
        <v>0</v>
      </c>
      <c r="J436" s="3">
        <v>0</v>
      </c>
      <c r="K436" s="1">
        <v>0</v>
      </c>
      <c r="L436" s="3">
        <v>0</v>
      </c>
      <c r="M436" s="3">
        <v>0</v>
      </c>
      <c r="N436" s="3">
        <v>0</v>
      </c>
      <c r="O436" s="1">
        <v>876232.39</v>
      </c>
      <c r="P436" s="3">
        <v>0</v>
      </c>
      <c r="Q436" s="3">
        <v>0</v>
      </c>
      <c r="R436" s="3">
        <v>0</v>
      </c>
      <c r="S436" s="1">
        <f>H436</f>
        <v>876232.39</v>
      </c>
      <c r="T436" s="79">
        <v>2021</v>
      </c>
      <c r="U436" s="79">
        <v>2022</v>
      </c>
    </row>
    <row r="437" spans="1:21" ht="15.75">
      <c r="A437" s="79">
        <f t="shared" si="91"/>
        <v>44</v>
      </c>
      <c r="B437" s="186" t="s">
        <v>431</v>
      </c>
      <c r="C437" s="81">
        <v>1960</v>
      </c>
      <c r="D437" s="79"/>
      <c r="E437" s="79"/>
      <c r="F437" s="101">
        <v>2756.7</v>
      </c>
      <c r="G437" s="101">
        <v>2215.8000000000002</v>
      </c>
      <c r="H437" s="2">
        <f t="shared" si="90"/>
        <v>884474.28</v>
      </c>
      <c r="I437" s="3">
        <v>0</v>
      </c>
      <c r="J437" s="3">
        <v>0</v>
      </c>
      <c r="K437" s="1">
        <v>0</v>
      </c>
      <c r="L437" s="3">
        <v>0</v>
      </c>
      <c r="M437" s="3">
        <v>0</v>
      </c>
      <c r="N437" s="3">
        <v>0</v>
      </c>
      <c r="O437" s="1">
        <v>884474.28</v>
      </c>
      <c r="P437" s="3">
        <v>0</v>
      </c>
      <c r="Q437" s="3">
        <v>0</v>
      </c>
      <c r="R437" s="3">
        <v>0</v>
      </c>
      <c r="S437" s="1">
        <f>H437</f>
        <v>884474.28</v>
      </c>
      <c r="T437" s="79">
        <v>2021</v>
      </c>
      <c r="U437" s="79">
        <v>2022</v>
      </c>
    </row>
    <row r="438" spans="1:21" ht="15.75">
      <c r="A438" s="128">
        <f t="shared" si="91"/>
        <v>45</v>
      </c>
      <c r="B438" s="186" t="s">
        <v>430</v>
      </c>
      <c r="C438" s="81">
        <v>1956</v>
      </c>
      <c r="D438" s="79"/>
      <c r="E438" s="79"/>
      <c r="F438" s="101">
        <v>3312.7</v>
      </c>
      <c r="G438" s="101">
        <v>3312.7</v>
      </c>
      <c r="H438" s="2">
        <f t="shared" si="90"/>
        <v>1078807.81</v>
      </c>
      <c r="I438" s="3">
        <v>0</v>
      </c>
      <c r="J438" s="3">
        <v>0</v>
      </c>
      <c r="K438" s="1">
        <v>0</v>
      </c>
      <c r="L438" s="3">
        <v>0</v>
      </c>
      <c r="M438" s="3">
        <v>0</v>
      </c>
      <c r="N438" s="3">
        <v>0</v>
      </c>
      <c r="O438" s="1">
        <v>1078807.81</v>
      </c>
      <c r="P438" s="3">
        <v>0</v>
      </c>
      <c r="Q438" s="3">
        <v>0</v>
      </c>
      <c r="R438" s="3">
        <v>0</v>
      </c>
      <c r="S438" s="1">
        <f>H438</f>
        <v>1078807.81</v>
      </c>
      <c r="T438" s="79">
        <v>2021</v>
      </c>
      <c r="U438" s="79">
        <v>2022</v>
      </c>
    </row>
    <row r="439" spans="1:21" ht="15.75">
      <c r="A439" s="79">
        <f t="shared" si="91"/>
        <v>46</v>
      </c>
      <c r="B439" s="186" t="s">
        <v>410</v>
      </c>
      <c r="C439" s="81">
        <v>1970</v>
      </c>
      <c r="D439" s="79"/>
      <c r="E439" s="79"/>
      <c r="F439" s="101">
        <v>4642.8</v>
      </c>
      <c r="G439" s="101">
        <v>4010.3</v>
      </c>
      <c r="H439" s="2">
        <f t="shared" si="90"/>
        <v>2501151.2400000002</v>
      </c>
      <c r="I439" s="3">
        <v>2351082.17</v>
      </c>
      <c r="J439" s="3">
        <v>0</v>
      </c>
      <c r="K439" s="1">
        <v>0</v>
      </c>
      <c r="L439" s="3">
        <v>0</v>
      </c>
      <c r="M439" s="3">
        <v>0</v>
      </c>
      <c r="N439" s="3">
        <v>0</v>
      </c>
      <c r="O439" s="1">
        <v>150069.07</v>
      </c>
      <c r="P439" s="3">
        <v>0</v>
      </c>
      <c r="Q439" s="3">
        <f t="shared" ref="Q439:Q450" si="92">H439</f>
        <v>2501151.2400000002</v>
      </c>
      <c r="R439" s="3">
        <v>0</v>
      </c>
      <c r="S439" s="1">
        <v>0</v>
      </c>
      <c r="T439" s="79">
        <v>2021</v>
      </c>
      <c r="U439" s="79">
        <v>2021</v>
      </c>
    </row>
    <row r="440" spans="1:21" ht="15.75">
      <c r="A440" s="79">
        <f t="shared" si="91"/>
        <v>47</v>
      </c>
      <c r="B440" s="186" t="s">
        <v>411</v>
      </c>
      <c r="C440" s="81">
        <v>1970</v>
      </c>
      <c r="D440" s="79"/>
      <c r="E440" s="79"/>
      <c r="F440" s="101">
        <v>8884.1</v>
      </c>
      <c r="G440" s="101">
        <v>7584.3</v>
      </c>
      <c r="H440" s="2">
        <f t="shared" si="90"/>
        <v>5002302.4800000004</v>
      </c>
      <c r="I440" s="3">
        <v>4702164.34</v>
      </c>
      <c r="J440" s="3">
        <v>0</v>
      </c>
      <c r="K440" s="1">
        <v>0</v>
      </c>
      <c r="L440" s="3">
        <v>0</v>
      </c>
      <c r="M440" s="3">
        <v>0</v>
      </c>
      <c r="N440" s="3">
        <v>0</v>
      </c>
      <c r="O440" s="1">
        <v>300138.14</v>
      </c>
      <c r="P440" s="3">
        <v>0</v>
      </c>
      <c r="Q440" s="3">
        <f t="shared" si="92"/>
        <v>5002302.4800000004</v>
      </c>
      <c r="R440" s="3">
        <v>0</v>
      </c>
      <c r="S440" s="1">
        <v>0</v>
      </c>
      <c r="T440" s="79">
        <v>2021</v>
      </c>
      <c r="U440" s="79">
        <v>2021</v>
      </c>
    </row>
    <row r="441" spans="1:21" ht="15.75">
      <c r="A441" s="79">
        <f t="shared" si="91"/>
        <v>48</v>
      </c>
      <c r="B441" s="186" t="s">
        <v>412</v>
      </c>
      <c r="C441" s="81">
        <v>1970</v>
      </c>
      <c r="D441" s="79"/>
      <c r="E441" s="79"/>
      <c r="F441" s="101">
        <v>4068.8</v>
      </c>
      <c r="G441" s="101">
        <v>4068.8</v>
      </c>
      <c r="H441" s="2">
        <f t="shared" si="90"/>
        <v>2501151.2400000002</v>
      </c>
      <c r="I441" s="3">
        <v>2351082.17</v>
      </c>
      <c r="J441" s="3">
        <v>0</v>
      </c>
      <c r="K441" s="1">
        <v>0</v>
      </c>
      <c r="L441" s="3">
        <v>0</v>
      </c>
      <c r="M441" s="3">
        <v>0</v>
      </c>
      <c r="N441" s="3">
        <v>0</v>
      </c>
      <c r="O441" s="1">
        <v>150069.07</v>
      </c>
      <c r="P441" s="3">
        <v>0</v>
      </c>
      <c r="Q441" s="3">
        <f t="shared" si="92"/>
        <v>2501151.2400000002</v>
      </c>
      <c r="R441" s="3">
        <v>0</v>
      </c>
      <c r="S441" s="1">
        <v>0</v>
      </c>
      <c r="T441" s="79">
        <v>2021</v>
      </c>
      <c r="U441" s="79">
        <v>2021</v>
      </c>
    </row>
    <row r="442" spans="1:21" ht="15.75">
      <c r="A442" s="79">
        <f t="shared" si="91"/>
        <v>49</v>
      </c>
      <c r="B442" s="186" t="s">
        <v>413</v>
      </c>
      <c r="C442" s="81">
        <v>1968</v>
      </c>
      <c r="D442" s="79"/>
      <c r="E442" s="79"/>
      <c r="F442" s="101">
        <v>3429.3</v>
      </c>
      <c r="G442" s="101">
        <v>3410.3</v>
      </c>
      <c r="H442" s="2">
        <f t="shared" si="90"/>
        <v>2501151.2400000002</v>
      </c>
      <c r="I442" s="3">
        <v>2351082.17</v>
      </c>
      <c r="J442" s="3">
        <v>0</v>
      </c>
      <c r="K442" s="1">
        <v>0</v>
      </c>
      <c r="L442" s="3">
        <v>0</v>
      </c>
      <c r="M442" s="3">
        <v>0</v>
      </c>
      <c r="N442" s="3">
        <v>0</v>
      </c>
      <c r="O442" s="1">
        <v>150069.07</v>
      </c>
      <c r="P442" s="3">
        <v>0</v>
      </c>
      <c r="Q442" s="3">
        <f t="shared" si="92"/>
        <v>2501151.2400000002</v>
      </c>
      <c r="R442" s="3">
        <v>0</v>
      </c>
      <c r="S442" s="1">
        <v>0</v>
      </c>
      <c r="T442" s="79">
        <v>2021</v>
      </c>
      <c r="U442" s="79">
        <v>2021</v>
      </c>
    </row>
    <row r="443" spans="1:21" ht="15.75">
      <c r="A443" s="79">
        <f t="shared" si="91"/>
        <v>50</v>
      </c>
      <c r="B443" s="186" t="s">
        <v>414</v>
      </c>
      <c r="C443" s="81">
        <v>1967</v>
      </c>
      <c r="D443" s="79"/>
      <c r="E443" s="79"/>
      <c r="F443" s="101">
        <v>4621.2</v>
      </c>
      <c r="G443" s="101">
        <v>4589.8</v>
      </c>
      <c r="H443" s="2">
        <f t="shared" si="90"/>
        <v>2501151.2400000002</v>
      </c>
      <c r="I443" s="3">
        <v>2351082.17</v>
      </c>
      <c r="J443" s="3">
        <v>0</v>
      </c>
      <c r="K443" s="1">
        <v>0</v>
      </c>
      <c r="L443" s="3">
        <v>0</v>
      </c>
      <c r="M443" s="3">
        <v>0</v>
      </c>
      <c r="N443" s="3">
        <v>0</v>
      </c>
      <c r="O443" s="1">
        <v>150069.07</v>
      </c>
      <c r="P443" s="3">
        <v>0</v>
      </c>
      <c r="Q443" s="3">
        <f t="shared" si="92"/>
        <v>2501151.2400000002</v>
      </c>
      <c r="R443" s="3">
        <v>0</v>
      </c>
      <c r="S443" s="1">
        <v>0</v>
      </c>
      <c r="T443" s="79">
        <v>2021</v>
      </c>
      <c r="U443" s="79">
        <v>2021</v>
      </c>
    </row>
    <row r="444" spans="1:21" ht="15.75">
      <c r="A444" s="79">
        <f t="shared" si="91"/>
        <v>51</v>
      </c>
      <c r="B444" s="186" t="s">
        <v>415</v>
      </c>
      <c r="C444" s="81">
        <v>1967</v>
      </c>
      <c r="D444" s="79"/>
      <c r="E444" s="79"/>
      <c r="F444" s="101">
        <v>3973.9</v>
      </c>
      <c r="G444" s="101">
        <v>3949.8</v>
      </c>
      <c r="H444" s="2">
        <f t="shared" si="90"/>
        <v>2501151.2400000002</v>
      </c>
      <c r="I444" s="3">
        <v>2351082.17</v>
      </c>
      <c r="J444" s="3">
        <v>0</v>
      </c>
      <c r="K444" s="1">
        <v>0</v>
      </c>
      <c r="L444" s="3">
        <v>0</v>
      </c>
      <c r="M444" s="3">
        <v>0</v>
      </c>
      <c r="N444" s="3">
        <v>0</v>
      </c>
      <c r="O444" s="1">
        <v>150069.07</v>
      </c>
      <c r="P444" s="3">
        <v>0</v>
      </c>
      <c r="Q444" s="3">
        <f t="shared" si="92"/>
        <v>2501151.2400000002</v>
      </c>
      <c r="R444" s="3">
        <v>0</v>
      </c>
      <c r="S444" s="1">
        <v>0</v>
      </c>
      <c r="T444" s="79">
        <v>2021</v>
      </c>
      <c r="U444" s="79">
        <v>2021</v>
      </c>
    </row>
    <row r="445" spans="1:21" ht="15.75">
      <c r="A445" s="79">
        <f t="shared" si="91"/>
        <v>52</v>
      </c>
      <c r="B445" s="186" t="s">
        <v>416</v>
      </c>
      <c r="C445" s="81">
        <v>1967</v>
      </c>
      <c r="D445" s="79"/>
      <c r="E445" s="79"/>
      <c r="F445" s="101">
        <v>5829.5</v>
      </c>
      <c r="G445" s="101">
        <v>5816.7</v>
      </c>
      <c r="H445" s="2">
        <f t="shared" si="90"/>
        <v>2501151.2400000002</v>
      </c>
      <c r="I445" s="3">
        <v>2351082.17</v>
      </c>
      <c r="J445" s="3">
        <v>0</v>
      </c>
      <c r="K445" s="1">
        <v>0</v>
      </c>
      <c r="L445" s="3">
        <v>0</v>
      </c>
      <c r="M445" s="3">
        <v>0</v>
      </c>
      <c r="N445" s="3">
        <v>0</v>
      </c>
      <c r="O445" s="1">
        <v>150069.07</v>
      </c>
      <c r="P445" s="3">
        <v>0</v>
      </c>
      <c r="Q445" s="3">
        <f t="shared" si="92"/>
        <v>2501151.2400000002</v>
      </c>
      <c r="R445" s="3">
        <v>0</v>
      </c>
      <c r="S445" s="1">
        <v>0</v>
      </c>
      <c r="T445" s="79">
        <v>2021</v>
      </c>
      <c r="U445" s="79">
        <v>2021</v>
      </c>
    </row>
    <row r="446" spans="1:21" ht="15.75">
      <c r="A446" s="79">
        <f t="shared" si="91"/>
        <v>53</v>
      </c>
      <c r="B446" s="186" t="s">
        <v>417</v>
      </c>
      <c r="C446" s="81">
        <v>1969</v>
      </c>
      <c r="D446" s="79"/>
      <c r="E446" s="79"/>
      <c r="F446" s="101">
        <v>4527.3</v>
      </c>
      <c r="G446" s="101">
        <v>3910.9</v>
      </c>
      <c r="H446" s="2">
        <f t="shared" si="90"/>
        <v>2501151.2400000002</v>
      </c>
      <c r="I446" s="3">
        <v>2351082.17</v>
      </c>
      <c r="J446" s="3">
        <v>0</v>
      </c>
      <c r="K446" s="1">
        <v>0</v>
      </c>
      <c r="L446" s="3">
        <v>0</v>
      </c>
      <c r="M446" s="3">
        <v>0</v>
      </c>
      <c r="N446" s="3">
        <v>0</v>
      </c>
      <c r="O446" s="1">
        <v>150069.07</v>
      </c>
      <c r="P446" s="3">
        <v>0</v>
      </c>
      <c r="Q446" s="3">
        <f t="shared" si="92"/>
        <v>2501151.2400000002</v>
      </c>
      <c r="R446" s="3">
        <v>0</v>
      </c>
      <c r="S446" s="1">
        <v>0</v>
      </c>
      <c r="T446" s="79">
        <v>2021</v>
      </c>
      <c r="U446" s="79">
        <v>2021</v>
      </c>
    </row>
    <row r="447" spans="1:21" ht="15.75">
      <c r="A447" s="79">
        <f t="shared" si="91"/>
        <v>54</v>
      </c>
      <c r="B447" s="186" t="s">
        <v>418</v>
      </c>
      <c r="C447" s="81">
        <v>1968</v>
      </c>
      <c r="D447" s="79"/>
      <c r="E447" s="79"/>
      <c r="F447" s="101">
        <v>4564.5</v>
      </c>
      <c r="G447" s="101">
        <v>3934.8</v>
      </c>
      <c r="H447" s="2">
        <f t="shared" si="90"/>
        <v>2501151.2400000002</v>
      </c>
      <c r="I447" s="3">
        <v>2351082.17</v>
      </c>
      <c r="J447" s="3">
        <v>0</v>
      </c>
      <c r="K447" s="1">
        <v>0</v>
      </c>
      <c r="L447" s="3">
        <v>0</v>
      </c>
      <c r="M447" s="3">
        <v>0</v>
      </c>
      <c r="N447" s="3">
        <v>0</v>
      </c>
      <c r="O447" s="1">
        <v>150069.07</v>
      </c>
      <c r="P447" s="3">
        <v>0</v>
      </c>
      <c r="Q447" s="3">
        <f t="shared" si="92"/>
        <v>2501151.2400000002</v>
      </c>
      <c r="R447" s="3">
        <v>0</v>
      </c>
      <c r="S447" s="1">
        <v>0</v>
      </c>
      <c r="T447" s="79">
        <v>2021</v>
      </c>
      <c r="U447" s="79">
        <v>2021</v>
      </c>
    </row>
    <row r="448" spans="1:21" ht="15.75">
      <c r="A448" s="79">
        <f t="shared" si="91"/>
        <v>55</v>
      </c>
      <c r="B448" s="186" t="s">
        <v>419</v>
      </c>
      <c r="C448" s="81">
        <v>1968</v>
      </c>
      <c r="D448" s="79"/>
      <c r="E448" s="79"/>
      <c r="F448" s="101">
        <v>3268.6</v>
      </c>
      <c r="G448" s="101">
        <v>3268.6</v>
      </c>
      <c r="H448" s="2">
        <f t="shared" si="90"/>
        <v>2501151.2400000002</v>
      </c>
      <c r="I448" s="3">
        <v>2351082.17</v>
      </c>
      <c r="J448" s="3">
        <v>0</v>
      </c>
      <c r="K448" s="1">
        <v>0</v>
      </c>
      <c r="L448" s="3">
        <v>0</v>
      </c>
      <c r="M448" s="3">
        <v>0</v>
      </c>
      <c r="N448" s="3">
        <v>0</v>
      </c>
      <c r="O448" s="1">
        <v>150069.07</v>
      </c>
      <c r="P448" s="3">
        <v>0</v>
      </c>
      <c r="Q448" s="3">
        <f t="shared" si="92"/>
        <v>2501151.2400000002</v>
      </c>
      <c r="R448" s="3">
        <v>0</v>
      </c>
      <c r="S448" s="1">
        <v>0</v>
      </c>
      <c r="T448" s="79">
        <v>2021</v>
      </c>
      <c r="U448" s="79">
        <v>2021</v>
      </c>
    </row>
    <row r="449" spans="1:21" ht="15.75">
      <c r="A449" s="79">
        <f t="shared" si="91"/>
        <v>56</v>
      </c>
      <c r="B449" s="186" t="s">
        <v>420</v>
      </c>
      <c r="C449" s="81">
        <v>1970</v>
      </c>
      <c r="D449" s="79"/>
      <c r="E449" s="79"/>
      <c r="F449" s="101">
        <v>3889.9</v>
      </c>
      <c r="G449" s="101">
        <v>3872.9</v>
      </c>
      <c r="H449" s="2">
        <f t="shared" si="90"/>
        <v>2501151.2400000002</v>
      </c>
      <c r="I449" s="3">
        <v>2351082.17</v>
      </c>
      <c r="J449" s="3">
        <v>0</v>
      </c>
      <c r="K449" s="1">
        <v>0</v>
      </c>
      <c r="L449" s="3">
        <v>0</v>
      </c>
      <c r="M449" s="3">
        <v>0</v>
      </c>
      <c r="N449" s="3">
        <v>0</v>
      </c>
      <c r="O449" s="1">
        <v>150069.07</v>
      </c>
      <c r="P449" s="3">
        <v>0</v>
      </c>
      <c r="Q449" s="3">
        <f t="shared" si="92"/>
        <v>2501151.2400000002</v>
      </c>
      <c r="R449" s="3">
        <v>0</v>
      </c>
      <c r="S449" s="1">
        <v>0</v>
      </c>
      <c r="T449" s="79">
        <v>2021</v>
      </c>
      <c r="U449" s="79">
        <v>2021</v>
      </c>
    </row>
    <row r="450" spans="1:21" ht="15.75">
      <c r="A450" s="79">
        <f t="shared" si="91"/>
        <v>57</v>
      </c>
      <c r="B450" s="186" t="s">
        <v>421</v>
      </c>
      <c r="C450" s="81">
        <v>1968</v>
      </c>
      <c r="D450" s="79"/>
      <c r="E450" s="79"/>
      <c r="F450" s="101">
        <v>3401.1</v>
      </c>
      <c r="G450" s="101">
        <v>3387.8</v>
      </c>
      <c r="H450" s="2">
        <f t="shared" si="90"/>
        <v>2501151.2400000002</v>
      </c>
      <c r="I450" s="3">
        <v>2351082.17</v>
      </c>
      <c r="J450" s="3">
        <v>0</v>
      </c>
      <c r="K450" s="1">
        <v>0</v>
      </c>
      <c r="L450" s="3">
        <v>0</v>
      </c>
      <c r="M450" s="3">
        <v>0</v>
      </c>
      <c r="N450" s="3">
        <v>0</v>
      </c>
      <c r="O450" s="1">
        <v>150069.07</v>
      </c>
      <c r="P450" s="3">
        <v>0</v>
      </c>
      <c r="Q450" s="3">
        <f t="shared" si="92"/>
        <v>2501151.2400000002</v>
      </c>
      <c r="R450" s="3">
        <v>0</v>
      </c>
      <c r="S450" s="1">
        <v>0</v>
      </c>
      <c r="T450" s="79">
        <v>2021</v>
      </c>
      <c r="U450" s="79">
        <v>2021</v>
      </c>
    </row>
    <row r="451" spans="1:21" ht="15.75">
      <c r="A451" s="79">
        <f t="shared" si="91"/>
        <v>58</v>
      </c>
      <c r="B451" s="186" t="s">
        <v>422</v>
      </c>
      <c r="C451" s="81">
        <v>1969</v>
      </c>
      <c r="D451" s="79"/>
      <c r="E451" s="79"/>
      <c r="F451" s="101">
        <v>4675</v>
      </c>
      <c r="G451" s="101">
        <v>4575.8999999999996</v>
      </c>
      <c r="H451" s="2">
        <f t="shared" si="90"/>
        <v>1016324.71</v>
      </c>
      <c r="I451" s="3">
        <f>ROUND(947117.94*1.015,2)</f>
        <v>961324.71</v>
      </c>
      <c r="J451" s="3">
        <v>0</v>
      </c>
      <c r="K451" s="1">
        <v>0</v>
      </c>
      <c r="L451" s="3">
        <v>0</v>
      </c>
      <c r="M451" s="3">
        <v>0</v>
      </c>
      <c r="N451" s="3">
        <v>0</v>
      </c>
      <c r="O451" s="1">
        <v>55000</v>
      </c>
      <c r="P451" s="3">
        <v>0</v>
      </c>
      <c r="Q451" s="3">
        <v>0</v>
      </c>
      <c r="R451" s="3">
        <v>0</v>
      </c>
      <c r="S451" s="1">
        <f>H451</f>
        <v>1016324.71</v>
      </c>
      <c r="T451" s="79">
        <v>2020</v>
      </c>
      <c r="U451" s="79">
        <v>2022</v>
      </c>
    </row>
    <row r="452" spans="1:21" ht="15.75">
      <c r="A452" s="79">
        <f t="shared" si="91"/>
        <v>59</v>
      </c>
      <c r="B452" s="186" t="s">
        <v>423</v>
      </c>
      <c r="C452" s="81">
        <v>1968</v>
      </c>
      <c r="D452" s="79"/>
      <c r="E452" s="79"/>
      <c r="F452" s="101">
        <v>3572.2</v>
      </c>
      <c r="G452" s="101">
        <v>3555</v>
      </c>
      <c r="H452" s="2">
        <f t="shared" si="90"/>
        <v>2501151.2400000002</v>
      </c>
      <c r="I452" s="3">
        <v>2351082.17</v>
      </c>
      <c r="J452" s="3">
        <v>0</v>
      </c>
      <c r="K452" s="1">
        <v>0</v>
      </c>
      <c r="L452" s="3">
        <v>0</v>
      </c>
      <c r="M452" s="3">
        <v>0</v>
      </c>
      <c r="N452" s="3">
        <v>0</v>
      </c>
      <c r="O452" s="1">
        <v>150069.07</v>
      </c>
      <c r="P452" s="3">
        <v>0</v>
      </c>
      <c r="Q452" s="3">
        <v>2501151.2400000002</v>
      </c>
      <c r="R452" s="3">
        <v>0</v>
      </c>
      <c r="S452" s="1">
        <v>0</v>
      </c>
      <c r="T452" s="79">
        <v>2021</v>
      </c>
      <c r="U452" s="79">
        <v>2021</v>
      </c>
    </row>
    <row r="453" spans="1:21" ht="15.75">
      <c r="A453" s="79">
        <f t="shared" si="91"/>
        <v>60</v>
      </c>
      <c r="B453" s="186" t="s">
        <v>424</v>
      </c>
      <c r="C453" s="81">
        <v>1967</v>
      </c>
      <c r="D453" s="79"/>
      <c r="E453" s="79"/>
      <c r="F453" s="101">
        <v>4929.8999999999996</v>
      </c>
      <c r="G453" s="101">
        <v>4912.7</v>
      </c>
      <c r="H453" s="2">
        <f t="shared" si="90"/>
        <v>2501151.2400000002</v>
      </c>
      <c r="I453" s="3">
        <v>2351082.17</v>
      </c>
      <c r="J453" s="3">
        <v>0</v>
      </c>
      <c r="K453" s="1">
        <v>0</v>
      </c>
      <c r="L453" s="3">
        <v>0</v>
      </c>
      <c r="M453" s="3">
        <v>0</v>
      </c>
      <c r="N453" s="3">
        <v>0</v>
      </c>
      <c r="O453" s="1">
        <v>150069.07</v>
      </c>
      <c r="P453" s="3">
        <v>0</v>
      </c>
      <c r="Q453" s="3">
        <v>2501151.2400000002</v>
      </c>
      <c r="R453" s="3">
        <v>0</v>
      </c>
      <c r="S453" s="1">
        <v>0</v>
      </c>
      <c r="T453" s="79">
        <v>2021</v>
      </c>
      <c r="U453" s="79">
        <v>2021</v>
      </c>
    </row>
    <row r="454" spans="1:21" ht="15.75">
      <c r="A454" s="79">
        <f t="shared" si="91"/>
        <v>61</v>
      </c>
      <c r="B454" s="186" t="s">
        <v>425</v>
      </c>
      <c r="C454" s="81">
        <v>1968</v>
      </c>
      <c r="D454" s="79"/>
      <c r="E454" s="79"/>
      <c r="F454" s="101">
        <v>2691.9</v>
      </c>
      <c r="G454" s="101">
        <v>2662.5</v>
      </c>
      <c r="H454" s="2">
        <f t="shared" si="90"/>
        <v>2501151.2400000002</v>
      </c>
      <c r="I454" s="3">
        <v>2351082.17</v>
      </c>
      <c r="J454" s="3">
        <v>0</v>
      </c>
      <c r="K454" s="1">
        <v>0</v>
      </c>
      <c r="L454" s="3">
        <v>0</v>
      </c>
      <c r="M454" s="3">
        <v>0</v>
      </c>
      <c r="N454" s="3">
        <v>0</v>
      </c>
      <c r="O454" s="1">
        <v>150069.07</v>
      </c>
      <c r="P454" s="3">
        <v>0</v>
      </c>
      <c r="Q454" s="3">
        <v>2501151.2400000002</v>
      </c>
      <c r="R454" s="3">
        <v>0</v>
      </c>
      <c r="S454" s="1">
        <v>0</v>
      </c>
      <c r="T454" s="79">
        <v>2021</v>
      </c>
      <c r="U454" s="79">
        <v>2021</v>
      </c>
    </row>
    <row r="455" spans="1:21" ht="15.75">
      <c r="A455" s="79">
        <f t="shared" si="91"/>
        <v>62</v>
      </c>
      <c r="B455" s="186" t="s">
        <v>426</v>
      </c>
      <c r="C455" s="81">
        <v>1968</v>
      </c>
      <c r="D455" s="79"/>
      <c r="E455" s="79"/>
      <c r="F455" s="101">
        <v>3185</v>
      </c>
      <c r="G455" s="101">
        <v>3141.7</v>
      </c>
      <c r="H455" s="2">
        <f t="shared" si="90"/>
        <v>2501151.2400000002</v>
      </c>
      <c r="I455" s="3">
        <v>2351082.17</v>
      </c>
      <c r="J455" s="3">
        <v>0</v>
      </c>
      <c r="K455" s="1">
        <v>0</v>
      </c>
      <c r="L455" s="3">
        <v>0</v>
      </c>
      <c r="M455" s="3">
        <v>0</v>
      </c>
      <c r="N455" s="3">
        <v>0</v>
      </c>
      <c r="O455" s="1">
        <v>150069.07</v>
      </c>
      <c r="P455" s="3">
        <v>0</v>
      </c>
      <c r="Q455" s="3">
        <v>2501151.2400000002</v>
      </c>
      <c r="R455" s="3">
        <v>0</v>
      </c>
      <c r="S455" s="1">
        <v>0</v>
      </c>
      <c r="T455" s="79">
        <v>2021</v>
      </c>
      <c r="U455" s="79">
        <v>2021</v>
      </c>
    </row>
    <row r="456" spans="1:21" ht="15.75">
      <c r="A456" s="79">
        <f t="shared" si="91"/>
        <v>63</v>
      </c>
      <c r="B456" s="186" t="s">
        <v>427</v>
      </c>
      <c r="C456" s="81">
        <v>1969</v>
      </c>
      <c r="D456" s="79"/>
      <c r="E456" s="79"/>
      <c r="F456" s="101">
        <v>2722.1</v>
      </c>
      <c r="G456" s="101">
        <v>2692.5</v>
      </c>
      <c r="H456" s="2">
        <f t="shared" si="90"/>
        <v>2501151.2400000002</v>
      </c>
      <c r="I456" s="3">
        <v>2351082.17</v>
      </c>
      <c r="J456" s="3">
        <v>0</v>
      </c>
      <c r="K456" s="1">
        <v>0</v>
      </c>
      <c r="L456" s="3">
        <v>0</v>
      </c>
      <c r="M456" s="3">
        <v>0</v>
      </c>
      <c r="N456" s="3">
        <v>0</v>
      </c>
      <c r="O456" s="1">
        <v>150069.07</v>
      </c>
      <c r="P456" s="3">
        <v>0</v>
      </c>
      <c r="Q456" s="3">
        <v>2501151.2400000002</v>
      </c>
      <c r="R456" s="3">
        <v>0</v>
      </c>
      <c r="S456" s="1">
        <v>0</v>
      </c>
      <c r="T456" s="79">
        <v>2021</v>
      </c>
      <c r="U456" s="79">
        <v>2021</v>
      </c>
    </row>
    <row r="457" spans="1:21" ht="15.75">
      <c r="A457" s="79">
        <f t="shared" si="91"/>
        <v>64</v>
      </c>
      <c r="B457" s="186" t="s">
        <v>428</v>
      </c>
      <c r="C457" s="81">
        <v>1968</v>
      </c>
      <c r="D457" s="79"/>
      <c r="E457" s="79"/>
      <c r="F457" s="101">
        <v>3032.3</v>
      </c>
      <c r="G457" s="101">
        <v>3004.5</v>
      </c>
      <c r="H457" s="2">
        <f t="shared" si="90"/>
        <v>2501151.2400000002</v>
      </c>
      <c r="I457" s="3">
        <v>2351082.17</v>
      </c>
      <c r="J457" s="3">
        <v>0</v>
      </c>
      <c r="K457" s="1">
        <v>0</v>
      </c>
      <c r="L457" s="3">
        <v>0</v>
      </c>
      <c r="M457" s="3">
        <v>0</v>
      </c>
      <c r="N457" s="3">
        <v>0</v>
      </c>
      <c r="O457" s="1">
        <v>150069.07</v>
      </c>
      <c r="P457" s="3">
        <v>0</v>
      </c>
      <c r="Q457" s="3">
        <v>2501151.2400000002</v>
      </c>
      <c r="R457" s="3">
        <v>0</v>
      </c>
      <c r="S457" s="1">
        <v>0</v>
      </c>
      <c r="T457" s="79">
        <v>2021</v>
      </c>
      <c r="U457" s="79">
        <v>2021</v>
      </c>
    </row>
    <row r="458" spans="1:21" ht="15.75">
      <c r="A458" s="79">
        <f t="shared" si="91"/>
        <v>65</v>
      </c>
      <c r="B458" s="186" t="s">
        <v>122</v>
      </c>
      <c r="C458" s="81">
        <v>1959</v>
      </c>
      <c r="D458" s="79"/>
      <c r="E458" s="79"/>
      <c r="F458" s="101">
        <v>7889.3</v>
      </c>
      <c r="G458" s="101">
        <v>4410.6000000000004</v>
      </c>
      <c r="H458" s="2">
        <f t="shared" si="90"/>
        <v>15672798.35</v>
      </c>
      <c r="I458" s="3">
        <v>0</v>
      </c>
      <c r="J458" s="3">
        <v>0</v>
      </c>
      <c r="K458" s="1">
        <f>ROUND(3357.62*G458*1.015,2)</f>
        <v>15031255.550000001</v>
      </c>
      <c r="L458" s="3">
        <v>0</v>
      </c>
      <c r="M458" s="3">
        <v>0</v>
      </c>
      <c r="N458" s="3">
        <v>0</v>
      </c>
      <c r="O458" s="1">
        <v>641542.80000000005</v>
      </c>
      <c r="P458" s="3">
        <v>0</v>
      </c>
      <c r="Q458" s="3">
        <v>0</v>
      </c>
      <c r="R458" s="3">
        <v>0</v>
      </c>
      <c r="S458" s="1">
        <f>H458</f>
        <v>15672798.35</v>
      </c>
      <c r="T458" s="79">
        <v>2020</v>
      </c>
      <c r="U458" s="79">
        <v>2022</v>
      </c>
    </row>
    <row r="459" spans="1:21" ht="15.75">
      <c r="A459" s="79">
        <f t="shared" si="91"/>
        <v>66</v>
      </c>
      <c r="B459" s="186" t="s">
        <v>433</v>
      </c>
      <c r="C459" s="81">
        <v>1967</v>
      </c>
      <c r="D459" s="79"/>
      <c r="E459" s="79"/>
      <c r="F459" s="101">
        <v>5515.4</v>
      </c>
      <c r="G459" s="101">
        <v>5471.4</v>
      </c>
      <c r="H459" s="2">
        <f t="shared" si="90"/>
        <v>2501151.2400000002</v>
      </c>
      <c r="I459" s="3">
        <v>2351082.17</v>
      </c>
      <c r="J459" s="3">
        <v>0</v>
      </c>
      <c r="K459" s="1">
        <v>0</v>
      </c>
      <c r="L459" s="3">
        <v>0</v>
      </c>
      <c r="M459" s="3">
        <v>0</v>
      </c>
      <c r="N459" s="3">
        <v>0</v>
      </c>
      <c r="O459" s="1">
        <v>150069.07</v>
      </c>
      <c r="P459" s="3">
        <v>0</v>
      </c>
      <c r="Q459" s="3">
        <v>2501151.2400000002</v>
      </c>
      <c r="R459" s="3">
        <v>0</v>
      </c>
      <c r="S459" s="1">
        <v>0</v>
      </c>
      <c r="T459" s="79">
        <v>2021</v>
      </c>
      <c r="U459" s="79">
        <v>2021</v>
      </c>
    </row>
    <row r="460" spans="1:21" ht="15.75">
      <c r="A460" s="79">
        <f t="shared" si="91"/>
        <v>67</v>
      </c>
      <c r="B460" s="186" t="s">
        <v>434</v>
      </c>
      <c r="C460" s="81">
        <v>1967</v>
      </c>
      <c r="D460" s="79"/>
      <c r="E460" s="79"/>
      <c r="F460" s="101">
        <v>4491.6000000000004</v>
      </c>
      <c r="G460" s="101">
        <v>4461.1000000000004</v>
      </c>
      <c r="H460" s="2">
        <f t="shared" si="90"/>
        <v>2501151.2400000002</v>
      </c>
      <c r="I460" s="3">
        <v>2351082.17</v>
      </c>
      <c r="J460" s="3">
        <v>0</v>
      </c>
      <c r="K460" s="1">
        <v>0</v>
      </c>
      <c r="L460" s="3">
        <v>0</v>
      </c>
      <c r="M460" s="3">
        <v>0</v>
      </c>
      <c r="N460" s="3">
        <v>0</v>
      </c>
      <c r="O460" s="1">
        <v>150069.07</v>
      </c>
      <c r="P460" s="3">
        <v>0</v>
      </c>
      <c r="Q460" s="3">
        <v>2501151.2400000002</v>
      </c>
      <c r="R460" s="3">
        <v>0</v>
      </c>
      <c r="S460" s="1">
        <v>0</v>
      </c>
      <c r="T460" s="79">
        <v>2021</v>
      </c>
      <c r="U460" s="79">
        <v>2021</v>
      </c>
    </row>
    <row r="461" spans="1:21" ht="15.75">
      <c r="A461" s="79">
        <f t="shared" si="91"/>
        <v>68</v>
      </c>
      <c r="B461" s="186" t="s">
        <v>435</v>
      </c>
      <c r="C461" s="81">
        <v>1967</v>
      </c>
      <c r="D461" s="79"/>
      <c r="E461" s="79"/>
      <c r="F461" s="101">
        <v>5107.7</v>
      </c>
      <c r="G461" s="101">
        <v>5091.5</v>
      </c>
      <c r="H461" s="2">
        <f t="shared" si="90"/>
        <v>2501151.2400000002</v>
      </c>
      <c r="I461" s="3">
        <v>2351082.17</v>
      </c>
      <c r="J461" s="3">
        <v>0</v>
      </c>
      <c r="K461" s="1">
        <v>0</v>
      </c>
      <c r="L461" s="3">
        <v>0</v>
      </c>
      <c r="M461" s="3">
        <v>0</v>
      </c>
      <c r="N461" s="3">
        <v>0</v>
      </c>
      <c r="O461" s="1">
        <v>150069.07</v>
      </c>
      <c r="P461" s="3">
        <v>0</v>
      </c>
      <c r="Q461" s="3">
        <v>2501151.2400000002</v>
      </c>
      <c r="R461" s="3">
        <v>0</v>
      </c>
      <c r="S461" s="1">
        <v>0</v>
      </c>
      <c r="T461" s="79">
        <v>2021</v>
      </c>
      <c r="U461" s="79">
        <v>2021</v>
      </c>
    </row>
    <row r="462" spans="1:21" ht="15.75">
      <c r="A462" s="79">
        <f t="shared" si="91"/>
        <v>69</v>
      </c>
      <c r="B462" s="186" t="s">
        <v>436</v>
      </c>
      <c r="C462" s="81">
        <v>1968</v>
      </c>
      <c r="D462" s="79"/>
      <c r="E462" s="79"/>
      <c r="F462" s="101">
        <v>3917.5</v>
      </c>
      <c r="G462" s="101">
        <v>2698.8</v>
      </c>
      <c r="H462" s="2">
        <f t="shared" si="90"/>
        <v>2501151.2400000002</v>
      </c>
      <c r="I462" s="3">
        <v>2351082.17</v>
      </c>
      <c r="J462" s="3">
        <v>0</v>
      </c>
      <c r="K462" s="1">
        <v>0</v>
      </c>
      <c r="L462" s="3">
        <v>0</v>
      </c>
      <c r="M462" s="3">
        <v>0</v>
      </c>
      <c r="N462" s="3">
        <v>0</v>
      </c>
      <c r="O462" s="1">
        <v>150069.07</v>
      </c>
      <c r="P462" s="3">
        <v>0</v>
      </c>
      <c r="Q462" s="3">
        <v>2501151.2400000002</v>
      </c>
      <c r="R462" s="3">
        <v>0</v>
      </c>
      <c r="S462" s="1">
        <v>0</v>
      </c>
      <c r="T462" s="79">
        <v>2021</v>
      </c>
      <c r="U462" s="79">
        <v>2021</v>
      </c>
    </row>
    <row r="463" spans="1:21" ht="15.75">
      <c r="A463" s="79">
        <f t="shared" si="91"/>
        <v>70</v>
      </c>
      <c r="B463" s="186" t="s">
        <v>437</v>
      </c>
      <c r="C463" s="81">
        <v>1967</v>
      </c>
      <c r="D463" s="79"/>
      <c r="E463" s="79"/>
      <c r="F463" s="101">
        <v>4398.2</v>
      </c>
      <c r="G463" s="101">
        <v>3076</v>
      </c>
      <c r="H463" s="2">
        <f t="shared" si="90"/>
        <v>2501151.2400000002</v>
      </c>
      <c r="I463" s="3">
        <v>2351082.17</v>
      </c>
      <c r="J463" s="3">
        <v>0</v>
      </c>
      <c r="K463" s="1">
        <v>0</v>
      </c>
      <c r="L463" s="3">
        <v>0</v>
      </c>
      <c r="M463" s="3">
        <v>0</v>
      </c>
      <c r="N463" s="3">
        <v>0</v>
      </c>
      <c r="O463" s="1">
        <v>150069.07</v>
      </c>
      <c r="P463" s="3">
        <v>0</v>
      </c>
      <c r="Q463" s="3">
        <v>2501151.2400000002</v>
      </c>
      <c r="R463" s="3">
        <v>0</v>
      </c>
      <c r="S463" s="1">
        <v>0</v>
      </c>
      <c r="T463" s="79">
        <v>2021</v>
      </c>
      <c r="U463" s="79">
        <v>2021</v>
      </c>
    </row>
    <row r="464" spans="1:21" ht="15.75">
      <c r="A464" s="79">
        <f t="shared" si="91"/>
        <v>71</v>
      </c>
      <c r="B464" s="186" t="s">
        <v>438</v>
      </c>
      <c r="C464" s="81">
        <v>1970</v>
      </c>
      <c r="D464" s="79"/>
      <c r="E464" s="79"/>
      <c r="F464" s="101">
        <v>4451.1000000000004</v>
      </c>
      <c r="G464" s="101">
        <v>3847.6</v>
      </c>
      <c r="H464" s="2">
        <f t="shared" si="90"/>
        <v>2501151.2400000002</v>
      </c>
      <c r="I464" s="3">
        <v>2351082.17</v>
      </c>
      <c r="J464" s="3">
        <v>0</v>
      </c>
      <c r="K464" s="1">
        <v>0</v>
      </c>
      <c r="L464" s="3">
        <v>0</v>
      </c>
      <c r="M464" s="3">
        <v>0</v>
      </c>
      <c r="N464" s="3">
        <v>0</v>
      </c>
      <c r="O464" s="1">
        <v>150069.07</v>
      </c>
      <c r="P464" s="3">
        <v>0</v>
      </c>
      <c r="Q464" s="3">
        <v>2501151.2400000002</v>
      </c>
      <c r="R464" s="3">
        <v>0</v>
      </c>
      <c r="S464" s="1">
        <v>0</v>
      </c>
      <c r="T464" s="79">
        <v>2021</v>
      </c>
      <c r="U464" s="79">
        <v>2021</v>
      </c>
    </row>
    <row r="465" spans="1:21" ht="15.75">
      <c r="A465" s="79">
        <f t="shared" si="91"/>
        <v>72</v>
      </c>
      <c r="B465" s="186" t="s">
        <v>439</v>
      </c>
      <c r="C465" s="81">
        <v>1970</v>
      </c>
      <c r="D465" s="79"/>
      <c r="E465" s="79"/>
      <c r="F465" s="101">
        <v>3289.8</v>
      </c>
      <c r="G465" s="101">
        <v>3244.7</v>
      </c>
      <c r="H465" s="2">
        <f t="shared" ref="H465:H496" si="93">I465+J465+K465+L465+M465+N465+O465</f>
        <v>13830839.720000001</v>
      </c>
      <c r="I465" s="3">
        <v>0</v>
      </c>
      <c r="J465" s="3">
        <v>0</v>
      </c>
      <c r="K465" s="1">
        <v>12814350.859999999</v>
      </c>
      <c r="L465" s="3">
        <v>0</v>
      </c>
      <c r="M465" s="3">
        <v>0</v>
      </c>
      <c r="N465" s="3">
        <v>0</v>
      </c>
      <c r="O465" s="1">
        <v>1016488.86</v>
      </c>
      <c r="P465" s="3">
        <v>0</v>
      </c>
      <c r="Q465" s="3">
        <v>0</v>
      </c>
      <c r="R465" s="3">
        <v>0</v>
      </c>
      <c r="S465" s="1">
        <f>H465</f>
        <v>13830839.720000001</v>
      </c>
      <c r="T465" s="79">
        <v>2021</v>
      </c>
      <c r="U465" s="79">
        <v>2022</v>
      </c>
    </row>
    <row r="466" spans="1:21" ht="15.75">
      <c r="A466" s="79">
        <f t="shared" ref="A466:A497" si="94">A465+1</f>
        <v>73</v>
      </c>
      <c r="B466" s="186" t="s">
        <v>440</v>
      </c>
      <c r="C466" s="81">
        <v>1967</v>
      </c>
      <c r="D466" s="79"/>
      <c r="E466" s="79"/>
      <c r="F466" s="101">
        <v>4615.8999999999996</v>
      </c>
      <c r="G466" s="101">
        <v>4584.8999999999996</v>
      </c>
      <c r="H466" s="2">
        <f t="shared" si="93"/>
        <v>2501151.2400000002</v>
      </c>
      <c r="I466" s="3">
        <v>2351082.17</v>
      </c>
      <c r="J466" s="3">
        <v>0</v>
      </c>
      <c r="K466" s="1">
        <v>0</v>
      </c>
      <c r="L466" s="3">
        <v>0</v>
      </c>
      <c r="M466" s="3">
        <v>0</v>
      </c>
      <c r="N466" s="3">
        <v>0</v>
      </c>
      <c r="O466" s="1">
        <v>150069.07</v>
      </c>
      <c r="P466" s="3">
        <v>0</v>
      </c>
      <c r="Q466" s="3">
        <v>2501151.2400000002</v>
      </c>
      <c r="R466" s="3">
        <v>0</v>
      </c>
      <c r="S466" s="1">
        <v>0</v>
      </c>
      <c r="T466" s="79">
        <v>2021</v>
      </c>
      <c r="U466" s="79">
        <v>2021</v>
      </c>
    </row>
    <row r="467" spans="1:21" ht="15.75">
      <c r="A467" s="79">
        <f t="shared" si="94"/>
        <v>74</v>
      </c>
      <c r="B467" s="186" t="s">
        <v>441</v>
      </c>
      <c r="C467" s="81">
        <v>1965</v>
      </c>
      <c r="D467" s="79"/>
      <c r="E467" s="79" t="s">
        <v>124</v>
      </c>
      <c r="F467" s="101">
        <v>4248</v>
      </c>
      <c r="G467" s="101">
        <v>2569.1999999999998</v>
      </c>
      <c r="H467" s="2">
        <f t="shared" si="93"/>
        <v>1016324.71</v>
      </c>
      <c r="I467" s="3">
        <v>961324.71</v>
      </c>
      <c r="J467" s="3">
        <v>0</v>
      </c>
      <c r="K467" s="1">
        <v>0</v>
      </c>
      <c r="L467" s="3">
        <v>0</v>
      </c>
      <c r="M467" s="3">
        <v>0</v>
      </c>
      <c r="N467" s="3">
        <v>0</v>
      </c>
      <c r="O467" s="1">
        <v>55000</v>
      </c>
      <c r="P467" s="3">
        <v>0</v>
      </c>
      <c r="Q467" s="3">
        <v>0</v>
      </c>
      <c r="R467" s="3">
        <v>0</v>
      </c>
      <c r="S467" s="1">
        <f t="shared" ref="S467:S474" si="95">H467</f>
        <v>1016324.71</v>
      </c>
      <c r="T467" s="79">
        <v>2020</v>
      </c>
      <c r="U467" s="79">
        <v>2022</v>
      </c>
    </row>
    <row r="468" spans="1:21" ht="15.75">
      <c r="A468" s="79">
        <f t="shared" si="94"/>
        <v>75</v>
      </c>
      <c r="B468" s="186" t="s">
        <v>871</v>
      </c>
      <c r="C468" s="81">
        <v>1959</v>
      </c>
      <c r="D468" s="79"/>
      <c r="E468" s="79"/>
      <c r="F468" s="101">
        <v>1716.1</v>
      </c>
      <c r="G468" s="101">
        <v>1642.3</v>
      </c>
      <c r="H468" s="2">
        <f t="shared" si="93"/>
        <v>16418273.92</v>
      </c>
      <c r="I468" s="3">
        <v>0</v>
      </c>
      <c r="J468" s="3">
        <v>0</v>
      </c>
      <c r="K468" s="1">
        <v>8668899.7400000002</v>
      </c>
      <c r="L468" s="3">
        <v>0</v>
      </c>
      <c r="M468" s="3">
        <v>7725374.1799999997</v>
      </c>
      <c r="N468" s="3">
        <v>0</v>
      </c>
      <c r="O468" s="1">
        <v>24000</v>
      </c>
      <c r="P468" s="3">
        <v>0</v>
      </c>
      <c r="Q468" s="3">
        <v>0</v>
      </c>
      <c r="R468" s="3">
        <v>0</v>
      </c>
      <c r="S468" s="1">
        <f t="shared" si="95"/>
        <v>16418273.92</v>
      </c>
      <c r="T468" s="79">
        <v>2021</v>
      </c>
      <c r="U468" s="79">
        <v>2022</v>
      </c>
    </row>
    <row r="469" spans="1:21" ht="15.75">
      <c r="A469" s="79">
        <f t="shared" si="94"/>
        <v>76</v>
      </c>
      <c r="B469" s="186" t="s">
        <v>872</v>
      </c>
      <c r="C469" s="81">
        <v>1960</v>
      </c>
      <c r="D469" s="79"/>
      <c r="E469" s="79"/>
      <c r="F469" s="101">
        <v>3484.9</v>
      </c>
      <c r="G469" s="101">
        <v>3127.2</v>
      </c>
      <c r="H469" s="2">
        <f t="shared" si="93"/>
        <v>25736532.350000001</v>
      </c>
      <c r="I469" s="3">
        <v>0</v>
      </c>
      <c r="J469" s="3">
        <v>0</v>
      </c>
      <c r="K469" s="1">
        <v>13596171.82</v>
      </c>
      <c r="L469" s="3">
        <v>0</v>
      </c>
      <c r="M469" s="3">
        <v>12116360.529999999</v>
      </c>
      <c r="N469" s="3">
        <v>0</v>
      </c>
      <c r="O469" s="1">
        <v>24000</v>
      </c>
      <c r="P469" s="3">
        <v>0</v>
      </c>
      <c r="Q469" s="3">
        <v>0</v>
      </c>
      <c r="R469" s="3">
        <v>0</v>
      </c>
      <c r="S469" s="1">
        <f t="shared" si="95"/>
        <v>25736532.350000001</v>
      </c>
      <c r="T469" s="79">
        <v>2021</v>
      </c>
      <c r="U469" s="79">
        <v>2022</v>
      </c>
    </row>
    <row r="470" spans="1:21" ht="15.75">
      <c r="A470" s="79">
        <f t="shared" si="94"/>
        <v>77</v>
      </c>
      <c r="B470" s="186" t="s">
        <v>873</v>
      </c>
      <c r="C470" s="81">
        <v>1967</v>
      </c>
      <c r="D470" s="79"/>
      <c r="E470" s="79"/>
      <c r="F470" s="101">
        <v>3363.7</v>
      </c>
      <c r="G470" s="101">
        <v>3249.5</v>
      </c>
      <c r="H470" s="2">
        <f t="shared" si="93"/>
        <v>1016324.71</v>
      </c>
      <c r="I470" s="3">
        <v>961324.71</v>
      </c>
      <c r="J470" s="3">
        <v>0</v>
      </c>
      <c r="K470" s="1">
        <v>0</v>
      </c>
      <c r="L470" s="3">
        <v>0</v>
      </c>
      <c r="M470" s="3">
        <v>0</v>
      </c>
      <c r="N470" s="3">
        <v>0</v>
      </c>
      <c r="O470" s="1">
        <v>55000</v>
      </c>
      <c r="P470" s="3">
        <v>0</v>
      </c>
      <c r="Q470" s="3">
        <v>0</v>
      </c>
      <c r="R470" s="3">
        <v>0</v>
      </c>
      <c r="S470" s="1">
        <f t="shared" si="95"/>
        <v>1016324.71</v>
      </c>
      <c r="T470" s="79">
        <v>2020</v>
      </c>
      <c r="U470" s="79">
        <v>2022</v>
      </c>
    </row>
    <row r="471" spans="1:21" ht="15.75">
      <c r="A471" s="79">
        <f t="shared" si="94"/>
        <v>78</v>
      </c>
      <c r="B471" s="186" t="s">
        <v>874</v>
      </c>
      <c r="C471" s="81">
        <v>1964</v>
      </c>
      <c r="D471" s="79"/>
      <c r="E471" s="79"/>
      <c r="F471" s="101">
        <v>2601.3000000000002</v>
      </c>
      <c r="G471" s="101">
        <v>2499.5</v>
      </c>
      <c r="H471" s="2">
        <f t="shared" si="93"/>
        <v>1016324.71</v>
      </c>
      <c r="I471" s="3">
        <v>961324.71</v>
      </c>
      <c r="J471" s="3">
        <v>0</v>
      </c>
      <c r="K471" s="1">
        <v>0</v>
      </c>
      <c r="L471" s="3">
        <v>0</v>
      </c>
      <c r="M471" s="3">
        <v>0</v>
      </c>
      <c r="N471" s="3">
        <v>0</v>
      </c>
      <c r="O471" s="1">
        <v>55000</v>
      </c>
      <c r="P471" s="3">
        <v>0</v>
      </c>
      <c r="Q471" s="3">
        <v>0</v>
      </c>
      <c r="R471" s="3">
        <v>0</v>
      </c>
      <c r="S471" s="1">
        <f t="shared" si="95"/>
        <v>1016324.71</v>
      </c>
      <c r="T471" s="79">
        <v>2020</v>
      </c>
      <c r="U471" s="79">
        <v>2022</v>
      </c>
    </row>
    <row r="472" spans="1:21" ht="15.75">
      <c r="A472" s="79">
        <f t="shared" si="94"/>
        <v>79</v>
      </c>
      <c r="B472" s="186" t="s">
        <v>442</v>
      </c>
      <c r="C472" s="81">
        <v>1962</v>
      </c>
      <c r="D472" s="79"/>
      <c r="E472" s="79"/>
      <c r="F472" s="101">
        <v>3176.7</v>
      </c>
      <c r="G472" s="101">
        <v>3176.7</v>
      </c>
      <c r="H472" s="2">
        <f t="shared" si="93"/>
        <v>12452527.300000001</v>
      </c>
      <c r="I472" s="3">
        <v>0</v>
      </c>
      <c r="J472" s="3">
        <v>0</v>
      </c>
      <c r="K472" s="1">
        <v>12428527.300000001</v>
      </c>
      <c r="L472" s="3">
        <v>0</v>
      </c>
      <c r="M472" s="3">
        <v>0</v>
      </c>
      <c r="N472" s="3">
        <v>0</v>
      </c>
      <c r="O472" s="1">
        <v>24000</v>
      </c>
      <c r="P472" s="3">
        <v>0</v>
      </c>
      <c r="Q472" s="3">
        <v>0</v>
      </c>
      <c r="R472" s="3">
        <v>0</v>
      </c>
      <c r="S472" s="1">
        <f t="shared" si="95"/>
        <v>12452527.300000001</v>
      </c>
      <c r="T472" s="79">
        <v>2021</v>
      </c>
      <c r="U472" s="79">
        <v>2022</v>
      </c>
    </row>
    <row r="473" spans="1:21" ht="15.75">
      <c r="A473" s="79">
        <f t="shared" si="94"/>
        <v>80</v>
      </c>
      <c r="B473" s="186" t="s">
        <v>443</v>
      </c>
      <c r="C473" s="81">
        <v>1960</v>
      </c>
      <c r="D473" s="79"/>
      <c r="E473" s="79"/>
      <c r="F473" s="101">
        <v>3559.6</v>
      </c>
      <c r="G473" s="101">
        <v>2538.5</v>
      </c>
      <c r="H473" s="2">
        <f t="shared" si="93"/>
        <v>1016324.71</v>
      </c>
      <c r="I473" s="3">
        <f>ROUND(947117.94*1.015,2)</f>
        <v>961324.71</v>
      </c>
      <c r="J473" s="3">
        <v>0</v>
      </c>
      <c r="K473" s="1">
        <v>0</v>
      </c>
      <c r="L473" s="3">
        <v>0</v>
      </c>
      <c r="M473" s="3">
        <v>0</v>
      </c>
      <c r="N473" s="3">
        <v>0</v>
      </c>
      <c r="O473" s="1">
        <v>55000</v>
      </c>
      <c r="P473" s="3">
        <v>0</v>
      </c>
      <c r="Q473" s="3">
        <v>0</v>
      </c>
      <c r="R473" s="3">
        <v>0</v>
      </c>
      <c r="S473" s="1">
        <f t="shared" si="95"/>
        <v>1016324.71</v>
      </c>
      <c r="T473" s="79">
        <v>2020</v>
      </c>
      <c r="U473" s="79">
        <v>2022</v>
      </c>
    </row>
    <row r="474" spans="1:21" ht="15.75">
      <c r="A474" s="79">
        <f t="shared" si="94"/>
        <v>81</v>
      </c>
      <c r="B474" s="186" t="s">
        <v>444</v>
      </c>
      <c r="C474" s="81">
        <v>1964</v>
      </c>
      <c r="D474" s="79"/>
      <c r="E474" s="79"/>
      <c r="F474" s="101">
        <v>3881.2</v>
      </c>
      <c r="G474" s="101">
        <v>3519.5</v>
      </c>
      <c r="H474" s="2">
        <f t="shared" si="93"/>
        <v>1016324.71</v>
      </c>
      <c r="I474" s="3">
        <f>ROUND(947117.94*1.015,2)</f>
        <v>961324.71</v>
      </c>
      <c r="J474" s="5">
        <v>0</v>
      </c>
      <c r="K474" s="1">
        <v>0</v>
      </c>
      <c r="L474" s="5">
        <v>0</v>
      </c>
      <c r="M474" s="5">
        <v>0</v>
      </c>
      <c r="N474" s="5">
        <v>0</v>
      </c>
      <c r="O474" s="1">
        <v>55000</v>
      </c>
      <c r="P474" s="3">
        <v>0</v>
      </c>
      <c r="Q474" s="3">
        <v>0</v>
      </c>
      <c r="R474" s="3">
        <v>0</v>
      </c>
      <c r="S474" s="1">
        <f t="shared" si="95"/>
        <v>1016324.71</v>
      </c>
      <c r="T474" s="79">
        <v>2020</v>
      </c>
      <c r="U474" s="79">
        <v>2022</v>
      </c>
    </row>
    <row r="475" spans="1:21" ht="15.75">
      <c r="A475" s="79">
        <f t="shared" si="94"/>
        <v>82</v>
      </c>
      <c r="B475" s="186" t="s">
        <v>445</v>
      </c>
      <c r="C475" s="81">
        <v>1959</v>
      </c>
      <c r="D475" s="79"/>
      <c r="E475" s="79"/>
      <c r="F475" s="101">
        <v>6510.9</v>
      </c>
      <c r="G475" s="101">
        <v>4901</v>
      </c>
      <c r="H475" s="2">
        <f t="shared" si="93"/>
        <v>49615290.649999999</v>
      </c>
      <c r="I475" s="41">
        <v>0</v>
      </c>
      <c r="J475" s="1">
        <v>0</v>
      </c>
      <c r="K475" s="1">
        <v>25488224.370000001</v>
      </c>
      <c r="L475" s="1">
        <v>0</v>
      </c>
      <c r="M475" s="1">
        <v>22714078.620000001</v>
      </c>
      <c r="N475" s="1">
        <v>0</v>
      </c>
      <c r="O475" s="1">
        <v>1412987.66</v>
      </c>
      <c r="P475" s="3">
        <v>0</v>
      </c>
      <c r="Q475" s="3">
        <v>49615290.649999999</v>
      </c>
      <c r="R475" s="3">
        <v>0</v>
      </c>
      <c r="S475" s="1">
        <v>0</v>
      </c>
      <c r="T475" s="79">
        <v>2021</v>
      </c>
      <c r="U475" s="79">
        <v>2022</v>
      </c>
    </row>
    <row r="476" spans="1:21" ht="15.75">
      <c r="A476" s="79">
        <f t="shared" si="94"/>
        <v>83</v>
      </c>
      <c r="B476" s="186" t="s">
        <v>446</v>
      </c>
      <c r="C476" s="81">
        <v>1960</v>
      </c>
      <c r="D476" s="79"/>
      <c r="E476" s="79"/>
      <c r="F476" s="101">
        <v>9188.2000000000007</v>
      </c>
      <c r="G476" s="101">
        <v>7471.4</v>
      </c>
      <c r="H476" s="2">
        <f t="shared" si="93"/>
        <v>49606389.399999999</v>
      </c>
      <c r="I476" s="41">
        <v>0</v>
      </c>
      <c r="J476" s="1">
        <v>0</v>
      </c>
      <c r="K476" s="1">
        <v>25354399.16</v>
      </c>
      <c r="L476" s="1">
        <v>0</v>
      </c>
      <c r="M476" s="1">
        <v>22594818.989999998</v>
      </c>
      <c r="N476" s="1">
        <v>0</v>
      </c>
      <c r="O476" s="1">
        <v>1657171.25</v>
      </c>
      <c r="P476" s="3">
        <v>0</v>
      </c>
      <c r="Q476" s="3">
        <v>49606389.399999999</v>
      </c>
      <c r="R476" s="3">
        <v>0</v>
      </c>
      <c r="S476" s="1">
        <v>0</v>
      </c>
      <c r="T476" s="79">
        <v>2021</v>
      </c>
      <c r="U476" s="79">
        <v>2022</v>
      </c>
    </row>
    <row r="477" spans="1:21" ht="15.75">
      <c r="A477" s="79">
        <f t="shared" si="94"/>
        <v>84</v>
      </c>
      <c r="B477" s="186" t="s">
        <v>447</v>
      </c>
      <c r="C477" s="81">
        <v>1965</v>
      </c>
      <c r="D477" s="79"/>
      <c r="E477" s="79"/>
      <c r="F477" s="101">
        <v>5046.7</v>
      </c>
      <c r="G477" s="101">
        <v>2032.4</v>
      </c>
      <c r="H477" s="2">
        <f t="shared" si="93"/>
        <v>16194049.619999999</v>
      </c>
      <c r="I477" s="41">
        <v>0</v>
      </c>
      <c r="J477" s="1">
        <v>0</v>
      </c>
      <c r="K477" s="1">
        <v>8550335.3000000007</v>
      </c>
      <c r="L477" s="1">
        <v>0</v>
      </c>
      <c r="M477" s="1">
        <v>7619714.3200000003</v>
      </c>
      <c r="N477" s="1">
        <v>0</v>
      </c>
      <c r="O477" s="1">
        <v>24000</v>
      </c>
      <c r="P477" s="3">
        <v>0</v>
      </c>
      <c r="Q477" s="3">
        <v>0</v>
      </c>
      <c r="R477" s="3">
        <v>0</v>
      </c>
      <c r="S477" s="1">
        <f>H477</f>
        <v>16194049.619999999</v>
      </c>
      <c r="T477" s="79">
        <v>2021</v>
      </c>
      <c r="U477" s="79">
        <v>2022</v>
      </c>
    </row>
    <row r="478" spans="1:21" ht="15.75">
      <c r="A478" s="79">
        <f t="shared" si="94"/>
        <v>85</v>
      </c>
      <c r="B478" s="186" t="s">
        <v>448</v>
      </c>
      <c r="C478" s="81">
        <v>1959</v>
      </c>
      <c r="D478" s="79"/>
      <c r="E478" s="79"/>
      <c r="F478" s="101">
        <v>1553.8</v>
      </c>
      <c r="G478" s="101">
        <v>1490.2</v>
      </c>
      <c r="H478" s="2">
        <f t="shared" si="93"/>
        <v>15443630.560000001</v>
      </c>
      <c r="I478" s="41">
        <v>0</v>
      </c>
      <c r="J478" s="1">
        <v>0</v>
      </c>
      <c r="K478" s="1">
        <v>9384919.0299999993</v>
      </c>
      <c r="L478" s="1">
        <v>0</v>
      </c>
      <c r="M478" s="1">
        <v>6034711.5300000003</v>
      </c>
      <c r="N478" s="1">
        <v>0</v>
      </c>
      <c r="O478" s="1">
        <v>24000</v>
      </c>
      <c r="P478" s="3">
        <v>0</v>
      </c>
      <c r="Q478" s="3">
        <v>0</v>
      </c>
      <c r="R478" s="3">
        <v>0</v>
      </c>
      <c r="S478" s="1">
        <f>H478</f>
        <v>15443630.560000001</v>
      </c>
      <c r="T478" s="79">
        <v>2021</v>
      </c>
      <c r="U478" s="79">
        <v>2022</v>
      </c>
    </row>
    <row r="479" spans="1:21" ht="15.75">
      <c r="A479" s="79">
        <f t="shared" si="94"/>
        <v>86</v>
      </c>
      <c r="B479" s="186" t="s">
        <v>449</v>
      </c>
      <c r="C479" s="81">
        <v>1960</v>
      </c>
      <c r="D479" s="79"/>
      <c r="E479" s="79"/>
      <c r="F479" s="101">
        <v>3139</v>
      </c>
      <c r="G479" s="101">
        <v>2298.1999999999998</v>
      </c>
      <c r="H479" s="2">
        <f t="shared" si="93"/>
        <v>33560749.789999999</v>
      </c>
      <c r="I479" s="41">
        <v>0</v>
      </c>
      <c r="J479" s="1">
        <v>0</v>
      </c>
      <c r="K479" s="1">
        <v>20411622.710000001</v>
      </c>
      <c r="L479" s="1">
        <v>0</v>
      </c>
      <c r="M479" s="1">
        <v>13125127.08</v>
      </c>
      <c r="N479" s="1">
        <v>0</v>
      </c>
      <c r="O479" s="1">
        <v>24000</v>
      </c>
      <c r="P479" s="3">
        <v>0</v>
      </c>
      <c r="Q479" s="3">
        <v>0</v>
      </c>
      <c r="R479" s="3">
        <v>0</v>
      </c>
      <c r="S479" s="1">
        <f>H479</f>
        <v>33560749.789999999</v>
      </c>
      <c r="T479" s="79">
        <v>2021</v>
      </c>
      <c r="U479" s="79">
        <v>2022</v>
      </c>
    </row>
    <row r="480" spans="1:21" ht="15.75">
      <c r="A480" s="79">
        <f t="shared" si="94"/>
        <v>87</v>
      </c>
      <c r="B480" s="186" t="s">
        <v>238</v>
      </c>
      <c r="C480" s="81">
        <v>1960</v>
      </c>
      <c r="D480" s="79"/>
      <c r="E480" s="79"/>
      <c r="F480" s="101">
        <v>1664.6</v>
      </c>
      <c r="G480" s="101">
        <v>1545.1</v>
      </c>
      <c r="H480" s="2">
        <f t="shared" si="93"/>
        <v>6617022.3499999996</v>
      </c>
      <c r="I480" s="41">
        <v>0</v>
      </c>
      <c r="J480" s="1">
        <v>0</v>
      </c>
      <c r="K480" s="1">
        <v>0</v>
      </c>
      <c r="L480" s="1">
        <v>0</v>
      </c>
      <c r="M480" s="1">
        <v>6025741.75</v>
      </c>
      <c r="N480" s="1">
        <v>0</v>
      </c>
      <c r="O480" s="1">
        <v>591280.6</v>
      </c>
      <c r="P480" s="3">
        <v>0</v>
      </c>
      <c r="Q480" s="3">
        <f>H480</f>
        <v>6617022.3499999996</v>
      </c>
      <c r="R480" s="3">
        <v>0</v>
      </c>
      <c r="S480" s="1">
        <v>0</v>
      </c>
      <c r="T480" s="79">
        <v>2021</v>
      </c>
      <c r="U480" s="79">
        <v>2022</v>
      </c>
    </row>
    <row r="481" spans="1:21" ht="15.75">
      <c r="A481" s="79">
        <f t="shared" si="94"/>
        <v>88</v>
      </c>
      <c r="B481" s="186" t="s">
        <v>450</v>
      </c>
      <c r="C481" s="81">
        <v>1963</v>
      </c>
      <c r="D481" s="79"/>
      <c r="E481" s="79"/>
      <c r="F481" s="110">
        <v>1996.8</v>
      </c>
      <c r="G481" s="110">
        <v>1878.3</v>
      </c>
      <c r="H481" s="1">
        <f t="shared" si="93"/>
        <v>530577.52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530577.52</v>
      </c>
      <c r="P481" s="1">
        <v>0</v>
      </c>
      <c r="Q481" s="1">
        <f>H481</f>
        <v>530577.52</v>
      </c>
      <c r="R481" s="1">
        <v>0</v>
      </c>
      <c r="S481" s="1">
        <v>0</v>
      </c>
      <c r="T481" s="79">
        <v>2020</v>
      </c>
      <c r="U481" s="79">
        <v>2022</v>
      </c>
    </row>
    <row r="482" spans="1:21" ht="15.75">
      <c r="A482" s="79">
        <f t="shared" si="94"/>
        <v>89</v>
      </c>
      <c r="B482" s="186" t="s">
        <v>451</v>
      </c>
      <c r="C482" s="81">
        <v>1950</v>
      </c>
      <c r="D482" s="79" t="s">
        <v>230</v>
      </c>
      <c r="E482" s="79"/>
      <c r="F482" s="110">
        <v>2559.5</v>
      </c>
      <c r="G482" s="110">
        <v>2356</v>
      </c>
      <c r="H482" s="1">
        <f t="shared" si="93"/>
        <v>919846.07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f>'[3]2020 год'!$Q$32+'[3]2020 год'!$R$32</f>
        <v>919846.07</v>
      </c>
      <c r="P482" s="1">
        <v>0</v>
      </c>
      <c r="Q482" s="1">
        <f>H482</f>
        <v>919846.07</v>
      </c>
      <c r="R482" s="1">
        <v>0</v>
      </c>
      <c r="S482" s="1">
        <v>0</v>
      </c>
      <c r="T482" s="79">
        <v>2020</v>
      </c>
      <c r="U482" s="79">
        <v>2022</v>
      </c>
    </row>
    <row r="483" spans="1:21" ht="15.75">
      <c r="A483" s="79">
        <f t="shared" si="94"/>
        <v>90</v>
      </c>
      <c r="B483" s="186" t="s">
        <v>223</v>
      </c>
      <c r="C483" s="81">
        <v>1935</v>
      </c>
      <c r="D483" s="79"/>
      <c r="E483" s="79"/>
      <c r="F483" s="110">
        <v>2068.4</v>
      </c>
      <c r="G483" s="110">
        <v>1925.7</v>
      </c>
      <c r="H483" s="1">
        <f t="shared" si="93"/>
        <v>321142.90999999997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321142.90999999997</v>
      </c>
      <c r="P483" s="1">
        <v>0</v>
      </c>
      <c r="Q483" s="1">
        <f>H483</f>
        <v>321142.90999999997</v>
      </c>
      <c r="R483" s="1">
        <v>0</v>
      </c>
      <c r="S483" s="1">
        <v>0</v>
      </c>
      <c r="T483" s="79">
        <v>2020</v>
      </c>
      <c r="U483" s="79">
        <v>2021</v>
      </c>
    </row>
    <row r="484" spans="1:21" ht="15.75">
      <c r="A484" s="79">
        <f t="shared" si="94"/>
        <v>91</v>
      </c>
      <c r="B484" s="186" t="s">
        <v>452</v>
      </c>
      <c r="C484" s="81">
        <v>1940</v>
      </c>
      <c r="D484" s="79"/>
      <c r="E484" s="79" t="s">
        <v>1066</v>
      </c>
      <c r="F484" s="110">
        <v>10137.4</v>
      </c>
      <c r="G484" s="110">
        <v>9208.5</v>
      </c>
      <c r="H484" s="1">
        <f t="shared" si="93"/>
        <v>787017.14</v>
      </c>
      <c r="I484" s="1"/>
      <c r="J484" s="1"/>
      <c r="K484" s="1">
        <v>0</v>
      </c>
      <c r="L484" s="1">
        <v>0</v>
      </c>
      <c r="M484" s="1">
        <v>0</v>
      </c>
      <c r="N484" s="1">
        <v>0</v>
      </c>
      <c r="O484" s="1">
        <v>787017.14</v>
      </c>
      <c r="P484" s="1">
        <v>0</v>
      </c>
      <c r="Q484" s="1">
        <f>H484</f>
        <v>787017.14</v>
      </c>
      <c r="R484" s="1">
        <v>0</v>
      </c>
      <c r="S484" s="1">
        <v>0</v>
      </c>
      <c r="T484" s="79">
        <v>2020</v>
      </c>
      <c r="U484" s="79">
        <v>2021</v>
      </c>
    </row>
    <row r="485" spans="1:21" ht="15.75">
      <c r="A485" s="79">
        <f t="shared" si="94"/>
        <v>92</v>
      </c>
      <c r="B485" s="186" t="s">
        <v>453</v>
      </c>
      <c r="C485" s="81">
        <v>1972</v>
      </c>
      <c r="D485" s="79"/>
      <c r="E485" s="79" t="s">
        <v>124</v>
      </c>
      <c r="F485" s="101">
        <v>3313.6</v>
      </c>
      <c r="G485" s="101">
        <v>2594.4</v>
      </c>
      <c r="H485" s="2">
        <f t="shared" si="93"/>
        <v>2855540.15</v>
      </c>
      <c r="I485" s="3">
        <v>0</v>
      </c>
      <c r="J485" s="1">
        <f>1*2855540.15-O485</f>
        <v>2784151.65</v>
      </c>
      <c r="K485" s="1">
        <v>0</v>
      </c>
      <c r="L485" s="1">
        <v>0</v>
      </c>
      <c r="M485" s="1">
        <v>0</v>
      </c>
      <c r="N485" s="1">
        <v>0</v>
      </c>
      <c r="O485" s="1">
        <v>71388.5</v>
      </c>
      <c r="P485" s="3">
        <v>0</v>
      </c>
      <c r="Q485" s="3">
        <v>0</v>
      </c>
      <c r="R485" s="3">
        <v>0</v>
      </c>
      <c r="S485" s="1">
        <f>H485</f>
        <v>2855540.15</v>
      </c>
      <c r="T485" s="79">
        <v>2020</v>
      </c>
      <c r="U485" s="79">
        <v>2022</v>
      </c>
    </row>
    <row r="486" spans="1:21" ht="15.75">
      <c r="A486" s="79">
        <f t="shared" si="94"/>
        <v>93</v>
      </c>
      <c r="B486" s="186" t="s">
        <v>454</v>
      </c>
      <c r="C486" s="81">
        <v>1950</v>
      </c>
      <c r="D486" s="79" t="s">
        <v>230</v>
      </c>
      <c r="E486" s="79"/>
      <c r="F486" s="110">
        <v>9989.2000000000007</v>
      </c>
      <c r="G486" s="110">
        <v>8923.2999999999993</v>
      </c>
      <c r="H486" s="1">
        <f t="shared" si="93"/>
        <v>1247869.6200000001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v>1247869.6200000001</v>
      </c>
      <c r="P486" s="1">
        <v>0</v>
      </c>
      <c r="Q486" s="1">
        <f>H486</f>
        <v>1247869.6200000001</v>
      </c>
      <c r="R486" s="1">
        <v>0</v>
      </c>
      <c r="S486" s="1">
        <v>0</v>
      </c>
      <c r="T486" s="79">
        <v>2020</v>
      </c>
      <c r="U486" s="79">
        <v>2021</v>
      </c>
    </row>
    <row r="487" spans="1:21" ht="15.75">
      <c r="A487" s="79">
        <f t="shared" si="94"/>
        <v>94</v>
      </c>
      <c r="B487" s="186" t="s">
        <v>455</v>
      </c>
      <c r="C487" s="81">
        <v>1938</v>
      </c>
      <c r="D487" s="79" t="s">
        <v>230</v>
      </c>
      <c r="E487" s="79"/>
      <c r="F487" s="110">
        <v>11111.8</v>
      </c>
      <c r="G487" s="110">
        <v>9447</v>
      </c>
      <c r="H487" s="1">
        <f t="shared" si="93"/>
        <v>35941627.789999999</v>
      </c>
      <c r="I487" s="1">
        <v>0</v>
      </c>
      <c r="J487" s="1">
        <v>0</v>
      </c>
      <c r="K487" s="1">
        <v>0</v>
      </c>
      <c r="L487" s="1">
        <v>0</v>
      </c>
      <c r="M487" s="1">
        <f>33959935.75+499211.02+67919.87</f>
        <v>34527066.640000001</v>
      </c>
      <c r="N487" s="1">
        <v>0</v>
      </c>
      <c r="O487" s="1">
        <v>1414561.15</v>
      </c>
      <c r="P487" s="1">
        <v>0</v>
      </c>
      <c r="Q487" s="1">
        <f>H487-S487</f>
        <v>35374496.899999999</v>
      </c>
      <c r="R487" s="1">
        <v>0</v>
      </c>
      <c r="S487" s="129">
        <v>567130.89</v>
      </c>
      <c r="T487" s="79">
        <v>2020</v>
      </c>
      <c r="U487" s="79">
        <v>2021</v>
      </c>
    </row>
    <row r="488" spans="1:21" ht="15.75">
      <c r="A488" s="79">
        <f t="shared" si="94"/>
        <v>95</v>
      </c>
      <c r="B488" s="186" t="s">
        <v>456</v>
      </c>
      <c r="C488" s="81">
        <v>1937</v>
      </c>
      <c r="D488" s="79" t="s">
        <v>230</v>
      </c>
      <c r="E488" s="79"/>
      <c r="F488" s="110">
        <v>3925.7</v>
      </c>
      <c r="G488" s="110">
        <v>3557.1</v>
      </c>
      <c r="H488" s="1">
        <f t="shared" si="93"/>
        <v>1893652.16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1893652.16</v>
      </c>
      <c r="P488" s="1">
        <v>0</v>
      </c>
      <c r="Q488" s="1">
        <f>H488</f>
        <v>1893652.16</v>
      </c>
      <c r="R488" s="1">
        <v>0</v>
      </c>
      <c r="S488" s="1">
        <v>0</v>
      </c>
      <c r="T488" s="79">
        <v>2020</v>
      </c>
      <c r="U488" s="79">
        <v>2021</v>
      </c>
    </row>
    <row r="489" spans="1:21" ht="15.75">
      <c r="A489" s="79">
        <f t="shared" si="94"/>
        <v>96</v>
      </c>
      <c r="B489" s="186" t="s">
        <v>229</v>
      </c>
      <c r="C489" s="81">
        <v>1934</v>
      </c>
      <c r="D489" s="79" t="s">
        <v>230</v>
      </c>
      <c r="E489" s="79"/>
      <c r="F489" s="110">
        <v>4540</v>
      </c>
      <c r="G489" s="110">
        <v>4140.2</v>
      </c>
      <c r="H489" s="1">
        <f t="shared" si="93"/>
        <v>922274.99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v>922274.99</v>
      </c>
      <c r="P489" s="1">
        <v>0</v>
      </c>
      <c r="Q489" s="1">
        <f>H489</f>
        <v>922274.99</v>
      </c>
      <c r="R489" s="1">
        <v>0</v>
      </c>
      <c r="S489" s="1">
        <v>0</v>
      </c>
      <c r="T489" s="79">
        <v>2020</v>
      </c>
      <c r="U489" s="79">
        <v>2021</v>
      </c>
    </row>
    <row r="490" spans="1:21" ht="15.75">
      <c r="A490" s="79">
        <f t="shared" si="94"/>
        <v>97</v>
      </c>
      <c r="B490" s="186" t="s">
        <v>457</v>
      </c>
      <c r="C490" s="81">
        <v>1950</v>
      </c>
      <c r="D490" s="79"/>
      <c r="E490" s="79"/>
      <c r="F490" s="101">
        <v>3120.3</v>
      </c>
      <c r="G490" s="101">
        <v>1958.8</v>
      </c>
      <c r="H490" s="7">
        <f t="shared" si="93"/>
        <v>14669305.550000001</v>
      </c>
      <c r="I490" s="10">
        <v>14245398.65</v>
      </c>
      <c r="J490" s="10">
        <v>0</v>
      </c>
      <c r="K490" s="9">
        <v>0</v>
      </c>
      <c r="L490" s="10">
        <v>0</v>
      </c>
      <c r="M490" s="10">
        <v>0</v>
      </c>
      <c r="N490" s="10">
        <v>0</v>
      </c>
      <c r="O490" s="9">
        <v>423906.9</v>
      </c>
      <c r="P490" s="10">
        <v>0</v>
      </c>
      <c r="Q490" s="10">
        <v>0</v>
      </c>
      <c r="R490" s="10">
        <v>0</v>
      </c>
      <c r="S490" s="1">
        <f t="shared" ref="S490:S503" si="96">H490</f>
        <v>14669305.550000001</v>
      </c>
      <c r="T490" s="79">
        <v>2020</v>
      </c>
      <c r="U490" s="79">
        <v>2022</v>
      </c>
    </row>
    <row r="491" spans="1:21" ht="15.75">
      <c r="A491" s="79">
        <f t="shared" si="94"/>
        <v>98</v>
      </c>
      <c r="B491" s="186" t="s">
        <v>458</v>
      </c>
      <c r="C491" s="81">
        <v>1950</v>
      </c>
      <c r="D491" s="79" t="s">
        <v>230</v>
      </c>
      <c r="E491" s="79"/>
      <c r="F491" s="101">
        <v>1853.9</v>
      </c>
      <c r="G491" s="101">
        <v>1146.0999999999999</v>
      </c>
      <c r="H491" s="2">
        <f t="shared" si="93"/>
        <v>16949229.039999999</v>
      </c>
      <c r="I491" s="3">
        <v>8998245.8800000008</v>
      </c>
      <c r="J491" s="3">
        <v>0</v>
      </c>
      <c r="K491" s="1">
        <v>7428185.6399999997</v>
      </c>
      <c r="L491" s="3">
        <v>0</v>
      </c>
      <c r="M491" s="3">
        <v>0</v>
      </c>
      <c r="N491" s="3">
        <v>0</v>
      </c>
      <c r="O491" s="1">
        <v>522797.52</v>
      </c>
      <c r="P491" s="3">
        <v>0</v>
      </c>
      <c r="Q491" s="3">
        <v>0</v>
      </c>
      <c r="R491" s="3">
        <v>0</v>
      </c>
      <c r="S491" s="1">
        <f t="shared" si="96"/>
        <v>16949229.039999999</v>
      </c>
      <c r="T491" s="79">
        <v>2020</v>
      </c>
      <c r="U491" s="79">
        <v>2022</v>
      </c>
    </row>
    <row r="492" spans="1:21" ht="15.75">
      <c r="A492" s="79">
        <f t="shared" si="94"/>
        <v>99</v>
      </c>
      <c r="B492" s="186" t="s">
        <v>459</v>
      </c>
      <c r="C492" s="81">
        <v>1976</v>
      </c>
      <c r="D492" s="79"/>
      <c r="E492" s="79"/>
      <c r="F492" s="101">
        <v>2703.9</v>
      </c>
      <c r="G492" s="101">
        <v>2353.3000000000002</v>
      </c>
      <c r="H492" s="1">
        <f t="shared" si="93"/>
        <v>3037801.66</v>
      </c>
      <c r="I492" s="1">
        <v>0</v>
      </c>
      <c r="J492" s="1">
        <f>3037801.66*1-O492</f>
        <v>2961856.62</v>
      </c>
      <c r="K492" s="1">
        <v>0</v>
      </c>
      <c r="L492" s="1">
        <v>0</v>
      </c>
      <c r="M492" s="1">
        <v>0</v>
      </c>
      <c r="N492" s="1">
        <v>0</v>
      </c>
      <c r="O492" s="1">
        <v>75945.039999999994</v>
      </c>
      <c r="P492" s="1">
        <v>0</v>
      </c>
      <c r="Q492" s="1">
        <v>0</v>
      </c>
      <c r="R492" s="1">
        <v>0</v>
      </c>
      <c r="S492" s="13">
        <f t="shared" si="96"/>
        <v>3037801.66</v>
      </c>
      <c r="T492" s="79">
        <v>2020</v>
      </c>
      <c r="U492" s="79">
        <v>2022</v>
      </c>
    </row>
    <row r="493" spans="1:21" ht="15.75">
      <c r="A493" s="79">
        <f t="shared" si="94"/>
        <v>100</v>
      </c>
      <c r="B493" s="186" t="s">
        <v>461</v>
      </c>
      <c r="C493" s="81">
        <v>1988</v>
      </c>
      <c r="D493" s="79"/>
      <c r="E493" s="79"/>
      <c r="F493" s="130">
        <v>2374.9</v>
      </c>
      <c r="G493" s="130">
        <v>2104.1</v>
      </c>
      <c r="H493" s="7">
        <f t="shared" si="93"/>
        <v>1016324.71</v>
      </c>
      <c r="I493" s="10">
        <f>ROUND(947117.94*1.015,2)</f>
        <v>961324.71</v>
      </c>
      <c r="J493" s="10">
        <v>0</v>
      </c>
      <c r="K493" s="9">
        <v>0</v>
      </c>
      <c r="L493" s="10">
        <v>0</v>
      </c>
      <c r="M493" s="10">
        <v>0</v>
      </c>
      <c r="N493" s="10">
        <v>0</v>
      </c>
      <c r="O493" s="9">
        <v>55000</v>
      </c>
      <c r="P493" s="10">
        <v>0</v>
      </c>
      <c r="Q493" s="10">
        <v>0</v>
      </c>
      <c r="R493" s="10">
        <v>0</v>
      </c>
      <c r="S493" s="9">
        <f t="shared" si="96"/>
        <v>1016324.71</v>
      </c>
      <c r="T493" s="131">
        <v>2020</v>
      </c>
      <c r="U493" s="131">
        <v>2022</v>
      </c>
    </row>
    <row r="494" spans="1:21" ht="15.75">
      <c r="A494" s="79">
        <f t="shared" si="94"/>
        <v>101</v>
      </c>
      <c r="B494" s="186" t="s">
        <v>464</v>
      </c>
      <c r="C494" s="81">
        <v>1953</v>
      </c>
      <c r="D494" s="79"/>
      <c r="E494" s="79"/>
      <c r="F494" s="101">
        <v>664.9</v>
      </c>
      <c r="G494" s="101">
        <v>610.79999999999995</v>
      </c>
      <c r="H494" s="2">
        <f t="shared" si="93"/>
        <v>3719324.07</v>
      </c>
      <c r="I494" s="3">
        <v>0</v>
      </c>
      <c r="J494" s="3">
        <v>0</v>
      </c>
      <c r="K494" s="1">
        <v>3244797.95</v>
      </c>
      <c r="L494" s="3">
        <v>0</v>
      </c>
      <c r="M494" s="3">
        <v>0</v>
      </c>
      <c r="N494" s="3">
        <v>0</v>
      </c>
      <c r="O494" s="1">
        <v>474526.12</v>
      </c>
      <c r="P494" s="3">
        <v>0</v>
      </c>
      <c r="Q494" s="3">
        <v>0</v>
      </c>
      <c r="R494" s="3">
        <v>0</v>
      </c>
      <c r="S494" s="9">
        <f t="shared" si="96"/>
        <v>3719324.07</v>
      </c>
      <c r="T494" s="79">
        <v>2021</v>
      </c>
      <c r="U494" s="79">
        <v>2022</v>
      </c>
    </row>
    <row r="495" spans="1:21" ht="15.75">
      <c r="A495" s="79">
        <f t="shared" si="94"/>
        <v>102</v>
      </c>
      <c r="B495" s="186" t="s">
        <v>465</v>
      </c>
      <c r="C495" s="81">
        <v>1967</v>
      </c>
      <c r="D495" s="79"/>
      <c r="E495" s="79"/>
      <c r="F495" s="101">
        <v>4153</v>
      </c>
      <c r="G495" s="101">
        <v>3736.3</v>
      </c>
      <c r="H495" s="2">
        <f t="shared" si="93"/>
        <v>1016324.71</v>
      </c>
      <c r="I495" s="3">
        <f>ROUND(947117.94*1.015,2)</f>
        <v>961324.71</v>
      </c>
      <c r="J495" s="3">
        <v>0</v>
      </c>
      <c r="K495" s="1">
        <v>0</v>
      </c>
      <c r="L495" s="3">
        <v>0</v>
      </c>
      <c r="M495" s="3">
        <v>0</v>
      </c>
      <c r="N495" s="3">
        <v>0</v>
      </c>
      <c r="O495" s="1">
        <v>55000</v>
      </c>
      <c r="P495" s="3">
        <v>0</v>
      </c>
      <c r="Q495" s="3">
        <v>0</v>
      </c>
      <c r="R495" s="3">
        <v>0</v>
      </c>
      <c r="S495" s="1">
        <f t="shared" si="96"/>
        <v>1016324.71</v>
      </c>
      <c r="T495" s="79">
        <v>2020</v>
      </c>
      <c r="U495" s="79">
        <v>2022</v>
      </c>
    </row>
    <row r="496" spans="1:21" ht="15.75">
      <c r="A496" s="79">
        <f t="shared" si="94"/>
        <v>103</v>
      </c>
      <c r="B496" s="186" t="s">
        <v>466</v>
      </c>
      <c r="C496" s="81">
        <v>1970</v>
      </c>
      <c r="D496" s="79"/>
      <c r="E496" s="79"/>
      <c r="F496" s="101">
        <v>3456.9</v>
      </c>
      <c r="G496" s="101">
        <v>3412.3</v>
      </c>
      <c r="H496" s="2">
        <f t="shared" si="93"/>
        <v>692441.57</v>
      </c>
      <c r="I496" s="3">
        <v>0</v>
      </c>
      <c r="J496" s="3">
        <v>0</v>
      </c>
      <c r="K496" s="1">
        <v>0</v>
      </c>
      <c r="L496" s="3">
        <v>0</v>
      </c>
      <c r="M496" s="3">
        <v>0</v>
      </c>
      <c r="N496" s="3">
        <v>0</v>
      </c>
      <c r="O496" s="1">
        <v>692441.57</v>
      </c>
      <c r="P496" s="3">
        <v>0</v>
      </c>
      <c r="Q496" s="3">
        <v>0</v>
      </c>
      <c r="R496" s="3">
        <v>0</v>
      </c>
      <c r="S496" s="1">
        <f t="shared" si="96"/>
        <v>692441.57</v>
      </c>
      <c r="T496" s="79">
        <v>2021</v>
      </c>
      <c r="U496" s="79">
        <v>2022</v>
      </c>
    </row>
    <row r="497" spans="1:21" ht="15.75">
      <c r="A497" s="79">
        <f t="shared" si="94"/>
        <v>104</v>
      </c>
      <c r="B497" s="186" t="s">
        <v>467</v>
      </c>
      <c r="C497" s="81">
        <v>1972</v>
      </c>
      <c r="D497" s="79"/>
      <c r="E497" s="79"/>
      <c r="F497" s="101">
        <v>4470.3</v>
      </c>
      <c r="G497" s="101">
        <v>4409.6000000000004</v>
      </c>
      <c r="H497" s="2">
        <f t="shared" ref="H497:H519" si="97">I497+J497+K497+L497+M497+N497+O497</f>
        <v>977613.95</v>
      </c>
      <c r="I497" s="1">
        <v>0</v>
      </c>
      <c r="J497" s="3">
        <v>0</v>
      </c>
      <c r="K497" s="1">
        <v>0</v>
      </c>
      <c r="L497" s="3">
        <v>0</v>
      </c>
      <c r="M497" s="3">
        <v>0</v>
      </c>
      <c r="N497" s="3">
        <v>0</v>
      </c>
      <c r="O497" s="1">
        <v>977613.95</v>
      </c>
      <c r="P497" s="3">
        <v>0</v>
      </c>
      <c r="Q497" s="3">
        <v>0</v>
      </c>
      <c r="R497" s="3">
        <v>0</v>
      </c>
      <c r="S497" s="1">
        <f t="shared" si="96"/>
        <v>977613.95</v>
      </c>
      <c r="T497" s="79">
        <v>2021</v>
      </c>
      <c r="U497" s="79">
        <v>2022</v>
      </c>
    </row>
    <row r="498" spans="1:21" ht="15.75">
      <c r="A498" s="79">
        <f t="shared" ref="A498:A523" si="98">A497+1</f>
        <v>105</v>
      </c>
      <c r="B498" s="186" t="s">
        <v>468</v>
      </c>
      <c r="C498" s="81">
        <v>1972</v>
      </c>
      <c r="D498" s="79"/>
      <c r="E498" s="79"/>
      <c r="F498" s="101">
        <v>4905.3</v>
      </c>
      <c r="G498" s="101">
        <v>4421</v>
      </c>
      <c r="H498" s="2">
        <f t="shared" si="97"/>
        <v>721269.59</v>
      </c>
      <c r="I498" s="3">
        <v>0</v>
      </c>
      <c r="J498" s="3">
        <v>0</v>
      </c>
      <c r="K498" s="1">
        <v>0</v>
      </c>
      <c r="L498" s="3">
        <v>0</v>
      </c>
      <c r="M498" s="3">
        <v>0</v>
      </c>
      <c r="N498" s="3">
        <v>0</v>
      </c>
      <c r="O498" s="1">
        <v>721269.59</v>
      </c>
      <c r="P498" s="3">
        <v>0</v>
      </c>
      <c r="Q498" s="3">
        <v>0</v>
      </c>
      <c r="R498" s="3">
        <v>0</v>
      </c>
      <c r="S498" s="1">
        <f t="shared" si="96"/>
        <v>721269.59</v>
      </c>
      <c r="T498" s="79">
        <v>2021</v>
      </c>
      <c r="U498" s="79">
        <v>2022</v>
      </c>
    </row>
    <row r="499" spans="1:21" ht="15.75">
      <c r="A499" s="79">
        <f t="shared" si="98"/>
        <v>106</v>
      </c>
      <c r="B499" s="186" t="s">
        <v>469</v>
      </c>
      <c r="C499" s="81">
        <v>1964</v>
      </c>
      <c r="D499" s="79"/>
      <c r="E499" s="79"/>
      <c r="F499" s="101">
        <v>3782</v>
      </c>
      <c r="G499" s="101">
        <v>3586</v>
      </c>
      <c r="H499" s="2">
        <f t="shared" si="97"/>
        <v>23316459.640000001</v>
      </c>
      <c r="I499" s="3">
        <v>0</v>
      </c>
      <c r="J499" s="3">
        <v>0</v>
      </c>
      <c r="K499" s="1">
        <v>11343923.25</v>
      </c>
      <c r="L499" s="3">
        <v>0</v>
      </c>
      <c r="M499" s="3">
        <v>10456140.859999999</v>
      </c>
      <c r="N499" s="3">
        <v>0</v>
      </c>
      <c r="O499" s="1">
        <v>1516395.53</v>
      </c>
      <c r="P499" s="3">
        <v>0</v>
      </c>
      <c r="Q499" s="3">
        <v>0</v>
      </c>
      <c r="R499" s="3">
        <v>0</v>
      </c>
      <c r="S499" s="1">
        <f t="shared" si="96"/>
        <v>23316459.640000001</v>
      </c>
      <c r="T499" s="79">
        <v>2021</v>
      </c>
      <c r="U499" s="79">
        <v>2022</v>
      </c>
    </row>
    <row r="500" spans="1:21" ht="15.75">
      <c r="A500" s="79">
        <f t="shared" si="98"/>
        <v>107</v>
      </c>
      <c r="B500" s="186" t="s">
        <v>470</v>
      </c>
      <c r="C500" s="81">
        <v>1961</v>
      </c>
      <c r="D500" s="79"/>
      <c r="E500" s="79"/>
      <c r="F500" s="101">
        <v>1779.7</v>
      </c>
      <c r="G500" s="101">
        <v>1075.5999999999999</v>
      </c>
      <c r="H500" s="2">
        <f t="shared" si="97"/>
        <v>5325269.68</v>
      </c>
      <c r="I500" s="3">
        <v>0</v>
      </c>
      <c r="J500" s="3">
        <v>0</v>
      </c>
      <c r="K500" s="1">
        <v>0</v>
      </c>
      <c r="L500" s="3">
        <v>0</v>
      </c>
      <c r="M500" s="3">
        <v>3585374.55</v>
      </c>
      <c r="N500" s="3">
        <v>1239565.7</v>
      </c>
      <c r="O500" s="1">
        <v>500329.43</v>
      </c>
      <c r="P500" s="3">
        <v>0</v>
      </c>
      <c r="Q500" s="3">
        <v>0</v>
      </c>
      <c r="R500" s="3">
        <v>0</v>
      </c>
      <c r="S500" s="1">
        <f t="shared" si="96"/>
        <v>5325269.68</v>
      </c>
      <c r="T500" s="79">
        <v>2021</v>
      </c>
      <c r="U500" s="79">
        <v>2021</v>
      </c>
    </row>
    <row r="501" spans="1:21" ht="15.75">
      <c r="A501" s="79">
        <f t="shared" si="98"/>
        <v>108</v>
      </c>
      <c r="B501" s="186" t="s">
        <v>471</v>
      </c>
      <c r="C501" s="81" t="s">
        <v>472</v>
      </c>
      <c r="D501" s="79"/>
      <c r="E501" s="79"/>
      <c r="F501" s="101">
        <v>4212</v>
      </c>
      <c r="G501" s="101">
        <v>3871.4</v>
      </c>
      <c r="H501" s="2">
        <f t="shared" si="97"/>
        <v>1016324.71</v>
      </c>
      <c r="I501" s="3">
        <f>ROUND(947117.94*1.015,2)</f>
        <v>961324.71</v>
      </c>
      <c r="J501" s="3">
        <v>0</v>
      </c>
      <c r="K501" s="1">
        <v>0</v>
      </c>
      <c r="L501" s="3">
        <v>0</v>
      </c>
      <c r="M501" s="3">
        <v>0</v>
      </c>
      <c r="N501" s="3">
        <v>0</v>
      </c>
      <c r="O501" s="1">
        <v>55000</v>
      </c>
      <c r="P501" s="3">
        <v>0</v>
      </c>
      <c r="Q501" s="3">
        <v>0</v>
      </c>
      <c r="R501" s="3">
        <v>0</v>
      </c>
      <c r="S501" s="1">
        <f t="shared" si="96"/>
        <v>1016324.71</v>
      </c>
      <c r="T501" s="79">
        <v>2020</v>
      </c>
      <c r="U501" s="79">
        <v>2022</v>
      </c>
    </row>
    <row r="502" spans="1:21" ht="15.75">
      <c r="A502" s="79">
        <f t="shared" si="98"/>
        <v>109</v>
      </c>
      <c r="B502" s="186" t="s">
        <v>473</v>
      </c>
      <c r="C502" s="81" t="s">
        <v>347</v>
      </c>
      <c r="D502" s="79"/>
      <c r="E502" s="79"/>
      <c r="F502" s="101">
        <v>2533.1999999999998</v>
      </c>
      <c r="G502" s="101">
        <v>2070.1999999999998</v>
      </c>
      <c r="H502" s="2">
        <f t="shared" si="97"/>
        <v>1016324.71</v>
      </c>
      <c r="I502" s="3">
        <f>ROUND(947117.94*1.015,2)</f>
        <v>961324.71</v>
      </c>
      <c r="J502" s="3">
        <v>0</v>
      </c>
      <c r="K502" s="1">
        <v>0</v>
      </c>
      <c r="L502" s="3">
        <v>0</v>
      </c>
      <c r="M502" s="3">
        <v>0</v>
      </c>
      <c r="N502" s="3">
        <v>0</v>
      </c>
      <c r="O502" s="1">
        <v>55000</v>
      </c>
      <c r="P502" s="3">
        <v>0</v>
      </c>
      <c r="Q502" s="3">
        <v>0</v>
      </c>
      <c r="R502" s="3">
        <v>0</v>
      </c>
      <c r="S502" s="1">
        <f t="shared" si="96"/>
        <v>1016324.71</v>
      </c>
      <c r="T502" s="79">
        <v>2020</v>
      </c>
      <c r="U502" s="79">
        <v>2022</v>
      </c>
    </row>
    <row r="503" spans="1:21" ht="15.75">
      <c r="A503" s="79">
        <f t="shared" si="98"/>
        <v>110</v>
      </c>
      <c r="B503" s="186" t="s">
        <v>475</v>
      </c>
      <c r="C503" s="81" t="s">
        <v>476</v>
      </c>
      <c r="D503" s="79"/>
      <c r="E503" s="79"/>
      <c r="F503" s="101">
        <v>2834.5</v>
      </c>
      <c r="G503" s="101">
        <v>2528.1</v>
      </c>
      <c r="H503" s="4">
        <f t="shared" si="97"/>
        <v>1016324.71</v>
      </c>
      <c r="I503" s="5">
        <f>ROUND(947117.94*1.015,2)</f>
        <v>961324.71</v>
      </c>
      <c r="J503" s="5">
        <v>0</v>
      </c>
      <c r="K503" s="6">
        <v>0</v>
      </c>
      <c r="L503" s="5">
        <v>0</v>
      </c>
      <c r="M503" s="5">
        <v>0</v>
      </c>
      <c r="N503" s="5">
        <v>0</v>
      </c>
      <c r="O503" s="1">
        <v>55000</v>
      </c>
      <c r="P503" s="3">
        <v>0</v>
      </c>
      <c r="Q503" s="3">
        <v>0</v>
      </c>
      <c r="R503" s="3">
        <v>0</v>
      </c>
      <c r="S503" s="1">
        <f t="shared" si="96"/>
        <v>1016324.71</v>
      </c>
      <c r="T503" s="79">
        <v>2020</v>
      </c>
      <c r="U503" s="79">
        <v>2022</v>
      </c>
    </row>
    <row r="504" spans="1:21" ht="15.75">
      <c r="A504" s="79">
        <f t="shared" si="98"/>
        <v>111</v>
      </c>
      <c r="B504" s="186" t="s">
        <v>477</v>
      </c>
      <c r="C504" s="81">
        <v>1957</v>
      </c>
      <c r="D504" s="79"/>
      <c r="E504" s="79"/>
      <c r="F504" s="101">
        <v>5615.6</v>
      </c>
      <c r="G504" s="101">
        <v>5604</v>
      </c>
      <c r="H504" s="4">
        <f t="shared" si="97"/>
        <v>24255086.350000001</v>
      </c>
      <c r="I504" s="1">
        <v>0</v>
      </c>
      <c r="J504" s="1">
        <v>0</v>
      </c>
      <c r="K504" s="1">
        <v>23659671.129999999</v>
      </c>
      <c r="L504" s="1">
        <v>0</v>
      </c>
      <c r="M504" s="1">
        <v>0</v>
      </c>
      <c r="N504" s="1">
        <v>0</v>
      </c>
      <c r="O504" s="1">
        <v>595415.22</v>
      </c>
      <c r="P504" s="3">
        <v>0</v>
      </c>
      <c r="Q504" s="3">
        <f>H504</f>
        <v>24255086.350000001</v>
      </c>
      <c r="R504" s="3">
        <v>0</v>
      </c>
      <c r="S504" s="1">
        <v>0</v>
      </c>
      <c r="T504" s="79">
        <v>2021</v>
      </c>
      <c r="U504" s="79">
        <v>2022</v>
      </c>
    </row>
    <row r="505" spans="1:21" ht="15.75">
      <c r="A505" s="79">
        <f t="shared" si="98"/>
        <v>112</v>
      </c>
      <c r="B505" s="186" t="s">
        <v>237</v>
      </c>
      <c r="C505" s="81">
        <v>1963</v>
      </c>
      <c r="D505" s="79"/>
      <c r="E505" s="79"/>
      <c r="F505" s="101">
        <v>5042.3999999999996</v>
      </c>
      <c r="G505" s="101">
        <v>4589</v>
      </c>
      <c r="H505" s="4">
        <f t="shared" si="97"/>
        <v>16981778.16</v>
      </c>
      <c r="I505" s="1">
        <v>0</v>
      </c>
      <c r="J505" s="1">
        <v>0</v>
      </c>
      <c r="K505" s="1">
        <v>0</v>
      </c>
      <c r="L505" s="1">
        <v>0</v>
      </c>
      <c r="M505" s="1">
        <v>16002411.35</v>
      </c>
      <c r="N505" s="1">
        <v>0</v>
      </c>
      <c r="O505" s="1">
        <v>979366.81</v>
      </c>
      <c r="P505" s="3">
        <v>0</v>
      </c>
      <c r="Q505" s="3">
        <v>0</v>
      </c>
      <c r="R505" s="3">
        <v>0</v>
      </c>
      <c r="S505" s="1">
        <f>H505</f>
        <v>16981778.16</v>
      </c>
      <c r="T505" s="79">
        <v>2021</v>
      </c>
      <c r="U505" s="79">
        <v>2022</v>
      </c>
    </row>
    <row r="506" spans="1:21" ht="15.75">
      <c r="A506" s="79">
        <f t="shared" si="98"/>
        <v>113</v>
      </c>
      <c r="B506" s="186" t="s">
        <v>478</v>
      </c>
      <c r="C506" s="81">
        <v>1959</v>
      </c>
      <c r="D506" s="79"/>
      <c r="E506" s="79"/>
      <c r="F506" s="110">
        <v>1919.8</v>
      </c>
      <c r="G506" s="110">
        <v>1894.8</v>
      </c>
      <c r="H506" s="1">
        <f t="shared" si="97"/>
        <v>774242.95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f>433718.28+340524.67</f>
        <v>774242.95</v>
      </c>
      <c r="P506" s="1">
        <v>0</v>
      </c>
      <c r="Q506" s="1">
        <f>H506</f>
        <v>774242.95</v>
      </c>
      <c r="R506" s="1">
        <v>0</v>
      </c>
      <c r="S506" s="1">
        <v>0</v>
      </c>
      <c r="T506" s="79">
        <v>2020</v>
      </c>
      <c r="U506" s="79">
        <v>2021</v>
      </c>
    </row>
    <row r="507" spans="1:21" ht="15.75">
      <c r="A507" s="79">
        <f t="shared" si="98"/>
        <v>114</v>
      </c>
      <c r="B507" s="186" t="s">
        <v>479</v>
      </c>
      <c r="C507" s="81">
        <v>1973</v>
      </c>
      <c r="D507" s="79"/>
      <c r="E507" s="79"/>
      <c r="F507" s="101">
        <v>3925.7</v>
      </c>
      <c r="G507" s="101">
        <v>3756.3</v>
      </c>
      <c r="H507" s="1">
        <f t="shared" si="97"/>
        <v>6075603.3200000003</v>
      </c>
      <c r="I507" s="1">
        <v>0</v>
      </c>
      <c r="J507" s="1">
        <f>ROUND(2*3037801.66,2)-O507</f>
        <v>5923713.2400000002</v>
      </c>
      <c r="K507" s="1">
        <v>0</v>
      </c>
      <c r="L507" s="1">
        <v>0</v>
      </c>
      <c r="M507" s="1">
        <v>0</v>
      </c>
      <c r="N507" s="1">
        <v>0</v>
      </c>
      <c r="O507" s="1">
        <v>151890.07999999999</v>
      </c>
      <c r="P507" s="3">
        <v>0</v>
      </c>
      <c r="Q507" s="3">
        <v>0</v>
      </c>
      <c r="R507" s="3">
        <v>0</v>
      </c>
      <c r="S507" s="1">
        <f>H507</f>
        <v>6075603.3200000003</v>
      </c>
      <c r="T507" s="79">
        <v>2020</v>
      </c>
      <c r="U507" s="79">
        <v>2022</v>
      </c>
    </row>
    <row r="508" spans="1:21" ht="15.75">
      <c r="A508" s="79">
        <f t="shared" si="98"/>
        <v>115</v>
      </c>
      <c r="B508" s="186" t="s">
        <v>480</v>
      </c>
      <c r="C508" s="81">
        <v>1961</v>
      </c>
      <c r="D508" s="79"/>
      <c r="E508" s="79"/>
      <c r="F508" s="92">
        <v>6143</v>
      </c>
      <c r="G508" s="92">
        <v>5751.6</v>
      </c>
      <c r="H508" s="1">
        <f t="shared" si="97"/>
        <v>42470316.649999999</v>
      </c>
      <c r="I508" s="1">
        <v>0</v>
      </c>
      <c r="J508" s="1">
        <v>0</v>
      </c>
      <c r="K508" s="1">
        <v>21759449.379999999</v>
      </c>
      <c r="L508" s="1">
        <v>0</v>
      </c>
      <c r="M508" s="1">
        <v>20056541.539999999</v>
      </c>
      <c r="N508" s="1">
        <v>0</v>
      </c>
      <c r="O508" s="1">
        <v>654325.73</v>
      </c>
      <c r="P508" s="1">
        <v>0</v>
      </c>
      <c r="Q508" s="1">
        <f>H508</f>
        <v>42470316.649999999</v>
      </c>
      <c r="R508" s="1">
        <v>0</v>
      </c>
      <c r="S508" s="1">
        <v>0</v>
      </c>
      <c r="T508" s="79">
        <v>2021</v>
      </c>
      <c r="U508" s="79">
        <v>2022</v>
      </c>
    </row>
    <row r="509" spans="1:21" ht="15.75">
      <c r="A509" s="79">
        <f t="shared" si="98"/>
        <v>116</v>
      </c>
      <c r="B509" s="186" t="s">
        <v>481</v>
      </c>
      <c r="C509" s="81">
        <v>1960</v>
      </c>
      <c r="D509" s="79"/>
      <c r="E509" s="79"/>
      <c r="F509" s="92">
        <v>2757.8</v>
      </c>
      <c r="G509" s="92">
        <v>2566.1999999999998</v>
      </c>
      <c r="H509" s="1">
        <f t="shared" si="97"/>
        <v>252739.42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252739.42</v>
      </c>
      <c r="P509" s="1">
        <v>0</v>
      </c>
      <c r="Q509" s="1">
        <f>H509</f>
        <v>252739.42</v>
      </c>
      <c r="R509" s="1">
        <v>0</v>
      </c>
      <c r="S509" s="1">
        <v>0</v>
      </c>
      <c r="T509" s="79">
        <v>2020</v>
      </c>
      <c r="U509" s="79">
        <v>2021</v>
      </c>
    </row>
    <row r="510" spans="1:21" ht="15.75">
      <c r="A510" s="79">
        <f t="shared" si="98"/>
        <v>117</v>
      </c>
      <c r="B510" s="186" t="s">
        <v>482</v>
      </c>
      <c r="C510" s="81">
        <v>1963</v>
      </c>
      <c r="D510" s="79"/>
      <c r="E510" s="79"/>
      <c r="F510" s="92">
        <v>2059.4</v>
      </c>
      <c r="G510" s="92">
        <v>1924.5</v>
      </c>
      <c r="H510" s="1">
        <f t="shared" si="97"/>
        <v>528328.23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528328.23</v>
      </c>
      <c r="P510" s="1">
        <v>0</v>
      </c>
      <c r="Q510" s="1">
        <f>H510</f>
        <v>528328.23</v>
      </c>
      <c r="R510" s="1">
        <v>0</v>
      </c>
      <c r="S510" s="1">
        <v>0</v>
      </c>
      <c r="T510" s="79">
        <v>2020</v>
      </c>
      <c r="U510" s="79">
        <v>2021</v>
      </c>
    </row>
    <row r="511" spans="1:21" ht="15.75">
      <c r="A511" s="79">
        <f t="shared" si="98"/>
        <v>118</v>
      </c>
      <c r="B511" s="186" t="s">
        <v>483</v>
      </c>
      <c r="C511" s="81">
        <v>1960</v>
      </c>
      <c r="D511" s="79"/>
      <c r="E511" s="79"/>
      <c r="F511" s="92">
        <v>3212.2</v>
      </c>
      <c r="G511" s="92">
        <v>3017.6</v>
      </c>
      <c r="H511" s="1">
        <f t="shared" si="97"/>
        <v>260488.85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v>260488.85</v>
      </c>
      <c r="P511" s="1">
        <v>0</v>
      </c>
      <c r="Q511" s="1">
        <f>H511</f>
        <v>260488.85</v>
      </c>
      <c r="R511" s="1">
        <v>0</v>
      </c>
      <c r="S511" s="1">
        <v>0</v>
      </c>
      <c r="T511" s="79">
        <v>2020</v>
      </c>
      <c r="U511" s="79">
        <v>2021</v>
      </c>
    </row>
    <row r="512" spans="1:21" ht="15.75">
      <c r="A512" s="79">
        <f t="shared" si="98"/>
        <v>119</v>
      </c>
      <c r="B512" s="186" t="s">
        <v>486</v>
      </c>
      <c r="C512" s="81">
        <v>1962</v>
      </c>
      <c r="D512" s="79"/>
      <c r="E512" s="79"/>
      <c r="F512" s="92">
        <v>2985.5</v>
      </c>
      <c r="G512" s="92">
        <v>2985.5</v>
      </c>
      <c r="H512" s="1">
        <f t="shared" si="97"/>
        <v>18926519.550000001</v>
      </c>
      <c r="I512" s="1">
        <v>0</v>
      </c>
      <c r="J512" s="1">
        <v>0</v>
      </c>
      <c r="K512" s="1">
        <v>18106937.93</v>
      </c>
      <c r="L512" s="1">
        <v>0</v>
      </c>
      <c r="M512" s="1">
        <v>0</v>
      </c>
      <c r="N512" s="1">
        <v>0</v>
      </c>
      <c r="O512" s="1">
        <v>819581.62</v>
      </c>
      <c r="P512" s="1">
        <v>0</v>
      </c>
      <c r="Q512" s="1">
        <v>0</v>
      </c>
      <c r="R512" s="1">
        <v>0</v>
      </c>
      <c r="S512" s="1">
        <f>H512</f>
        <v>18926519.550000001</v>
      </c>
      <c r="T512" s="79">
        <v>2021</v>
      </c>
      <c r="U512" s="79">
        <v>2022</v>
      </c>
    </row>
    <row r="513" spans="1:21" ht="15.75">
      <c r="A513" s="79">
        <f t="shared" si="98"/>
        <v>120</v>
      </c>
      <c r="B513" s="186" t="s">
        <v>487</v>
      </c>
      <c r="C513" s="81" t="s">
        <v>488</v>
      </c>
      <c r="D513" s="79"/>
      <c r="E513" s="79"/>
      <c r="F513" s="101">
        <v>1001.7</v>
      </c>
      <c r="G513" s="101">
        <v>849.5</v>
      </c>
      <c r="H513" s="7">
        <f t="shared" si="97"/>
        <v>2690988.62</v>
      </c>
      <c r="I513" s="10">
        <v>2538668.5099999998</v>
      </c>
      <c r="J513" s="10">
        <v>0</v>
      </c>
      <c r="K513" s="9">
        <v>0</v>
      </c>
      <c r="L513" s="10">
        <v>0</v>
      </c>
      <c r="M513" s="10">
        <v>0</v>
      </c>
      <c r="N513" s="10">
        <v>0</v>
      </c>
      <c r="O513" s="9">
        <v>152320.10999999999</v>
      </c>
      <c r="P513" s="10">
        <v>0</v>
      </c>
      <c r="Q513" s="10">
        <f>H513</f>
        <v>2690988.62</v>
      </c>
      <c r="R513" s="10">
        <v>0</v>
      </c>
      <c r="S513" s="1">
        <v>0</v>
      </c>
      <c r="T513" s="79">
        <v>2021</v>
      </c>
      <c r="U513" s="79">
        <v>2021</v>
      </c>
    </row>
    <row r="514" spans="1:21" ht="15.75">
      <c r="A514" s="79">
        <f t="shared" si="98"/>
        <v>121</v>
      </c>
      <c r="B514" s="186" t="s">
        <v>489</v>
      </c>
      <c r="C514" s="81">
        <v>1959</v>
      </c>
      <c r="D514" s="79"/>
      <c r="E514" s="79"/>
      <c r="F514" s="92">
        <v>1935.5</v>
      </c>
      <c r="G514" s="92">
        <v>1395.7</v>
      </c>
      <c r="H514" s="1">
        <f t="shared" si="97"/>
        <v>14199017.689999999</v>
      </c>
      <c r="I514" s="1">
        <v>0</v>
      </c>
      <c r="J514" s="1">
        <v>0</v>
      </c>
      <c r="K514" s="1">
        <v>7102278.4199999999</v>
      </c>
      <c r="L514" s="1">
        <v>0</v>
      </c>
      <c r="M514" s="1">
        <v>6448407.46</v>
      </c>
      <c r="N514" s="1">
        <v>0</v>
      </c>
      <c r="O514" s="1">
        <f>305763.71+342568.1</f>
        <v>648331.81000000006</v>
      </c>
      <c r="P514" s="1">
        <v>0</v>
      </c>
      <c r="Q514" s="1">
        <f>H514</f>
        <v>14199017.689999999</v>
      </c>
      <c r="R514" s="1">
        <v>0</v>
      </c>
      <c r="S514" s="1">
        <v>0</v>
      </c>
      <c r="T514" s="79">
        <v>2021</v>
      </c>
      <c r="U514" s="79">
        <v>2022</v>
      </c>
    </row>
    <row r="515" spans="1:21" ht="15.75">
      <c r="A515" s="79">
        <f t="shared" si="98"/>
        <v>122</v>
      </c>
      <c r="B515" s="186" t="s">
        <v>492</v>
      </c>
      <c r="C515" s="81">
        <v>1951</v>
      </c>
      <c r="D515" s="79"/>
      <c r="E515" s="79"/>
      <c r="F515" s="92">
        <v>954.8</v>
      </c>
      <c r="G515" s="92">
        <v>954.8</v>
      </c>
      <c r="H515" s="1">
        <f t="shared" si="97"/>
        <v>551519.51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551519.51</v>
      </c>
      <c r="P515" s="1">
        <v>0</v>
      </c>
      <c r="Q515" s="1">
        <v>0</v>
      </c>
      <c r="R515" s="1">
        <v>0</v>
      </c>
      <c r="S515" s="1">
        <f>H515</f>
        <v>551519.51</v>
      </c>
      <c r="T515" s="79">
        <v>2021</v>
      </c>
      <c r="U515" s="79">
        <v>2022</v>
      </c>
    </row>
    <row r="516" spans="1:21" ht="15.75">
      <c r="A516" s="79">
        <f t="shared" si="98"/>
        <v>123</v>
      </c>
      <c r="B516" s="186" t="s">
        <v>493</v>
      </c>
      <c r="C516" s="81">
        <v>1968</v>
      </c>
      <c r="D516" s="79"/>
      <c r="E516" s="79"/>
      <c r="F516" s="92">
        <v>3282.3</v>
      </c>
      <c r="G516" s="92">
        <v>2964.2</v>
      </c>
      <c r="H516" s="1">
        <f t="shared" si="97"/>
        <v>2501151.2400000002</v>
      </c>
      <c r="I516" s="1">
        <v>2351082.17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150069.07</v>
      </c>
      <c r="P516" s="1">
        <v>0</v>
      </c>
      <c r="Q516" s="1">
        <f>H516</f>
        <v>2501151.2400000002</v>
      </c>
      <c r="R516" s="1">
        <v>0</v>
      </c>
      <c r="S516" s="1">
        <v>0</v>
      </c>
      <c r="T516" s="79">
        <v>202</v>
      </c>
      <c r="U516" s="79">
        <v>2021</v>
      </c>
    </row>
    <row r="517" spans="1:21" ht="15.75">
      <c r="A517" s="79">
        <f t="shared" si="98"/>
        <v>124</v>
      </c>
      <c r="B517" s="186" t="s">
        <v>494</v>
      </c>
      <c r="C517" s="81">
        <v>1968</v>
      </c>
      <c r="D517" s="79"/>
      <c r="E517" s="79"/>
      <c r="F517" s="92">
        <v>4389.7</v>
      </c>
      <c r="G517" s="92">
        <v>4375.5</v>
      </c>
      <c r="H517" s="1">
        <f t="shared" si="97"/>
        <v>2501151.2400000002</v>
      </c>
      <c r="I517" s="1">
        <v>2351082.17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150069.07</v>
      </c>
      <c r="P517" s="1">
        <v>0</v>
      </c>
      <c r="Q517" s="1">
        <v>2501151.2400000002</v>
      </c>
      <c r="R517" s="1">
        <v>0</v>
      </c>
      <c r="S517" s="1">
        <v>0</v>
      </c>
      <c r="T517" s="79">
        <v>202</v>
      </c>
      <c r="U517" s="79">
        <v>2021</v>
      </c>
    </row>
    <row r="518" spans="1:21" ht="15.75">
      <c r="A518" s="79">
        <f t="shared" si="98"/>
        <v>125</v>
      </c>
      <c r="B518" s="186" t="s">
        <v>495</v>
      </c>
      <c r="C518" s="81">
        <v>1968</v>
      </c>
      <c r="D518" s="79"/>
      <c r="E518" s="79"/>
      <c r="F518" s="92">
        <v>2823.2</v>
      </c>
      <c r="G518" s="92">
        <v>1947.1</v>
      </c>
      <c r="H518" s="1">
        <f t="shared" si="97"/>
        <v>2501151.2400000002</v>
      </c>
      <c r="I518" s="1">
        <v>2351082.17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150069.07</v>
      </c>
      <c r="P518" s="1">
        <v>0</v>
      </c>
      <c r="Q518" s="1">
        <v>2501151.2400000002</v>
      </c>
      <c r="R518" s="1">
        <v>0</v>
      </c>
      <c r="S518" s="1">
        <v>0</v>
      </c>
      <c r="T518" s="79">
        <v>202</v>
      </c>
      <c r="U518" s="79">
        <v>2021</v>
      </c>
    </row>
    <row r="519" spans="1:21" ht="15.75">
      <c r="A519" s="79">
        <f t="shared" si="98"/>
        <v>126</v>
      </c>
      <c r="B519" s="186" t="s">
        <v>496</v>
      </c>
      <c r="C519" s="81">
        <v>1968</v>
      </c>
      <c r="D519" s="79"/>
      <c r="E519" s="79"/>
      <c r="F519" s="92">
        <v>3939</v>
      </c>
      <c r="G519" s="92">
        <v>3927.1</v>
      </c>
      <c r="H519" s="1">
        <f t="shared" si="97"/>
        <v>2501151.2400000002</v>
      </c>
      <c r="I519" s="1">
        <v>2351082.17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v>150069.07</v>
      </c>
      <c r="P519" s="1">
        <v>0</v>
      </c>
      <c r="Q519" s="1">
        <v>2501151.2400000002</v>
      </c>
      <c r="R519" s="1">
        <v>0</v>
      </c>
      <c r="S519" s="1">
        <v>0</v>
      </c>
      <c r="T519" s="79">
        <v>202</v>
      </c>
      <c r="U519" s="79">
        <v>2021</v>
      </c>
    </row>
    <row r="520" spans="1:21" ht="15.75" customHeight="1">
      <c r="A520" s="79">
        <f t="shared" si="98"/>
        <v>127</v>
      </c>
      <c r="B520" s="186" t="s">
        <v>497</v>
      </c>
      <c r="C520" s="81" t="s">
        <v>498</v>
      </c>
      <c r="D520" s="79"/>
      <c r="E520" s="79"/>
      <c r="F520" s="101">
        <v>2644.6</v>
      </c>
      <c r="G520" s="101">
        <v>2167.4</v>
      </c>
      <c r="H520" s="7">
        <v>1016324.71</v>
      </c>
      <c r="I520" s="10">
        <v>961324.71</v>
      </c>
      <c r="J520" s="10">
        <v>0</v>
      </c>
      <c r="K520" s="9">
        <v>0</v>
      </c>
      <c r="L520" s="10">
        <v>0</v>
      </c>
      <c r="M520" s="10">
        <v>0</v>
      </c>
      <c r="N520" s="10">
        <v>0</v>
      </c>
      <c r="O520" s="9">
        <v>55000</v>
      </c>
      <c r="P520" s="10">
        <v>0</v>
      </c>
      <c r="Q520" s="10">
        <v>0</v>
      </c>
      <c r="R520" s="10">
        <v>0</v>
      </c>
      <c r="S520" s="1">
        <v>1016324.71</v>
      </c>
      <c r="T520" s="79">
        <v>2020</v>
      </c>
      <c r="U520" s="79">
        <v>2022</v>
      </c>
    </row>
    <row r="521" spans="1:21" ht="15.75" customHeight="1">
      <c r="A521" s="79">
        <f t="shared" si="98"/>
        <v>128</v>
      </c>
      <c r="B521" s="186" t="s">
        <v>499</v>
      </c>
      <c r="C521" s="81" t="s">
        <v>500</v>
      </c>
      <c r="D521" s="79"/>
      <c r="E521" s="79"/>
      <c r="F521" s="101">
        <v>1643.9</v>
      </c>
      <c r="G521" s="101">
        <v>1312.1</v>
      </c>
      <c r="H521" s="2">
        <v>1016324.71</v>
      </c>
      <c r="I521" s="3">
        <v>961324.71</v>
      </c>
      <c r="J521" s="3">
        <v>0</v>
      </c>
      <c r="K521" s="1">
        <v>0</v>
      </c>
      <c r="L521" s="3">
        <v>0</v>
      </c>
      <c r="M521" s="3">
        <v>0</v>
      </c>
      <c r="N521" s="3">
        <v>0</v>
      </c>
      <c r="O521" s="1">
        <v>55000</v>
      </c>
      <c r="P521" s="3">
        <v>0</v>
      </c>
      <c r="Q521" s="3">
        <v>0</v>
      </c>
      <c r="R521" s="3">
        <v>0</v>
      </c>
      <c r="S521" s="1">
        <v>1016324.71</v>
      </c>
      <c r="T521" s="79">
        <v>2020</v>
      </c>
      <c r="U521" s="79">
        <v>2022</v>
      </c>
    </row>
    <row r="522" spans="1:21" ht="15.75">
      <c r="A522" s="79">
        <f t="shared" si="98"/>
        <v>129</v>
      </c>
      <c r="B522" s="186" t="s">
        <v>236</v>
      </c>
      <c r="C522" s="79">
        <v>1960</v>
      </c>
      <c r="D522" s="79"/>
      <c r="E522" s="79"/>
      <c r="F522" s="101">
        <v>3263.8</v>
      </c>
      <c r="G522" s="101">
        <v>3061</v>
      </c>
      <c r="H522" s="2">
        <f>I522+J522+K522+L522+M522+N522+O522</f>
        <v>31812788.699999999</v>
      </c>
      <c r="I522" s="3">
        <v>0</v>
      </c>
      <c r="J522" s="3">
        <v>0</v>
      </c>
      <c r="K522" s="1">
        <v>16809150.780000001</v>
      </c>
      <c r="L522" s="3">
        <v>0</v>
      </c>
      <c r="M522" s="3">
        <v>14979637.92</v>
      </c>
      <c r="N522" s="3">
        <v>0</v>
      </c>
      <c r="O522" s="1">
        <v>24000</v>
      </c>
      <c r="P522" s="3">
        <v>0</v>
      </c>
      <c r="Q522" s="3">
        <f>H522</f>
        <v>31812788.699999999</v>
      </c>
      <c r="R522" s="3">
        <v>0</v>
      </c>
      <c r="S522" s="1">
        <v>0</v>
      </c>
      <c r="T522" s="79">
        <v>2021</v>
      </c>
      <c r="U522" s="79">
        <v>2022</v>
      </c>
    </row>
    <row r="523" spans="1:21" ht="15.75">
      <c r="A523" s="79">
        <f t="shared" si="98"/>
        <v>130</v>
      </c>
      <c r="B523" s="199" t="s">
        <v>501</v>
      </c>
      <c r="C523" s="132">
        <v>1963</v>
      </c>
      <c r="D523" s="128"/>
      <c r="E523" s="128"/>
      <c r="F523" s="133">
        <v>310.5</v>
      </c>
      <c r="G523" s="133">
        <v>3108.5</v>
      </c>
      <c r="H523" s="4">
        <f>I523+J523+K523+L523+M523+N523+O523</f>
        <v>17589440.920000002</v>
      </c>
      <c r="I523" s="5">
        <v>0</v>
      </c>
      <c r="J523" s="5">
        <v>0</v>
      </c>
      <c r="K523" s="6">
        <v>6807443.0899999999</v>
      </c>
      <c r="L523" s="5">
        <v>0</v>
      </c>
      <c r="M523" s="5">
        <v>10757997.83</v>
      </c>
      <c r="N523" s="5">
        <v>0</v>
      </c>
      <c r="O523" s="6">
        <v>24000</v>
      </c>
      <c r="P523" s="5">
        <v>0</v>
      </c>
      <c r="Q523" s="5">
        <f>H523</f>
        <v>17589440.920000002</v>
      </c>
      <c r="R523" s="5">
        <v>0</v>
      </c>
      <c r="S523" s="6">
        <v>0</v>
      </c>
      <c r="T523" s="128">
        <v>2021</v>
      </c>
      <c r="U523" s="128">
        <v>2022</v>
      </c>
    </row>
    <row r="524" spans="1:21" ht="15.75">
      <c r="A524" s="290" t="s">
        <v>383</v>
      </c>
      <c r="B524" s="290"/>
      <c r="C524" s="81"/>
      <c r="D524" s="79"/>
      <c r="E524" s="79"/>
      <c r="F524" s="14">
        <f t="shared" ref="F524:S524" si="99">SUM(F434:F523)</f>
        <v>343248.4</v>
      </c>
      <c r="G524" s="14">
        <f t="shared" si="99"/>
        <v>307304.3</v>
      </c>
      <c r="H524" s="15">
        <f t="shared" si="99"/>
        <v>639870959.75</v>
      </c>
      <c r="I524" s="15">
        <f t="shared" si="99"/>
        <v>108811999.37</v>
      </c>
      <c r="J524" s="15">
        <f t="shared" si="99"/>
        <v>11669721.51</v>
      </c>
      <c r="K524" s="15">
        <f t="shared" si="99"/>
        <v>267990543.41</v>
      </c>
      <c r="L524" s="15">
        <f t="shared" si="99"/>
        <v>0</v>
      </c>
      <c r="M524" s="15">
        <f t="shared" si="99"/>
        <v>214769505.15000001</v>
      </c>
      <c r="N524" s="15">
        <f t="shared" si="99"/>
        <v>1239565.7</v>
      </c>
      <c r="O524" s="15">
        <f t="shared" si="99"/>
        <v>35389624.609999999</v>
      </c>
      <c r="P524" s="15">
        <f t="shared" si="99"/>
        <v>0</v>
      </c>
      <c r="Q524" s="15">
        <f t="shared" si="99"/>
        <v>357703555.29000002</v>
      </c>
      <c r="R524" s="15">
        <f t="shared" si="99"/>
        <v>0</v>
      </c>
      <c r="S524" s="15">
        <f t="shared" si="99"/>
        <v>282167404.45999998</v>
      </c>
      <c r="T524" s="16" t="s">
        <v>31</v>
      </c>
      <c r="U524" s="16" t="s">
        <v>31</v>
      </c>
    </row>
    <row r="525" spans="1:21" ht="15.75">
      <c r="A525" s="308" t="s">
        <v>728</v>
      </c>
      <c r="B525" s="309"/>
      <c r="C525" s="309"/>
      <c r="D525" s="309"/>
      <c r="E525" s="309"/>
      <c r="F525" s="309"/>
      <c r="G525" s="309"/>
      <c r="H525" s="309"/>
      <c r="I525" s="309"/>
      <c r="J525" s="309"/>
      <c r="K525" s="309"/>
      <c r="L525" s="309"/>
      <c r="M525" s="309"/>
      <c r="N525" s="309"/>
      <c r="O525" s="309"/>
      <c r="P525" s="309"/>
      <c r="Q525" s="309"/>
      <c r="R525" s="309"/>
      <c r="S525" s="309"/>
      <c r="T525" s="309"/>
      <c r="U525" s="310"/>
    </row>
    <row r="526" spans="1:21" ht="15.75">
      <c r="A526" s="79">
        <f>A523+1</f>
        <v>131</v>
      </c>
      <c r="B526" s="270" t="s">
        <v>509</v>
      </c>
      <c r="C526" s="115">
        <v>1956</v>
      </c>
      <c r="D526" s="79"/>
      <c r="E526" s="79"/>
      <c r="F526" s="117">
        <v>712.5</v>
      </c>
      <c r="G526" s="118">
        <v>383.1</v>
      </c>
      <c r="H526" s="1">
        <f t="shared" ref="H526:H533" si="100">I526+J526+K526+L526+M526+N526+O526</f>
        <v>4502729.3499999996</v>
      </c>
      <c r="I526" s="1">
        <f>ROUND(G526*(598.59+659.34+1015.78)*1.015,2)</f>
        <v>884124.18</v>
      </c>
      <c r="J526" s="1">
        <v>0</v>
      </c>
      <c r="K526" s="1">
        <f>ROUND(G526*8645.31*1.015,2)</f>
        <v>3361698.53</v>
      </c>
      <c r="L526" s="1">
        <v>0</v>
      </c>
      <c r="M526" s="1">
        <v>0</v>
      </c>
      <c r="N526" s="1">
        <v>0</v>
      </c>
      <c r="O526" s="1">
        <v>256906.64</v>
      </c>
      <c r="P526" s="1">
        <v>0</v>
      </c>
      <c r="Q526" s="1">
        <v>0</v>
      </c>
      <c r="R526" s="1">
        <v>0</v>
      </c>
      <c r="S526" s="13">
        <f t="shared" ref="S526:S533" si="101">H526</f>
        <v>4502729.3499999996</v>
      </c>
      <c r="T526" s="79">
        <v>2021</v>
      </c>
      <c r="U526" s="79">
        <v>2021</v>
      </c>
    </row>
    <row r="527" spans="1:21" ht="15.75">
      <c r="A527" s="79">
        <f t="shared" ref="A527:A537" si="102">A526+1</f>
        <v>132</v>
      </c>
      <c r="B527" s="270" t="s">
        <v>510</v>
      </c>
      <c r="C527" s="119">
        <v>1953</v>
      </c>
      <c r="D527" s="79"/>
      <c r="E527" s="79"/>
      <c r="F527" s="117">
        <v>922.2</v>
      </c>
      <c r="G527" s="117">
        <v>504.9</v>
      </c>
      <c r="H527" s="1">
        <f t="shared" si="100"/>
        <v>5861284.0199999996</v>
      </c>
      <c r="I527" s="1">
        <f>ROUND(G527*(598.59+659.34+1015.78)*1.015,2)+0.01</f>
        <v>1165216.1299999999</v>
      </c>
      <c r="J527" s="1">
        <v>0</v>
      </c>
      <c r="K527" s="1">
        <f>ROUND(G527*8645.31*1.015,2)</f>
        <v>4430492.2699999996</v>
      </c>
      <c r="L527" s="1">
        <v>0</v>
      </c>
      <c r="M527" s="1">
        <v>0</v>
      </c>
      <c r="N527" s="1">
        <v>0</v>
      </c>
      <c r="O527" s="1">
        <v>265575.62</v>
      </c>
      <c r="P527" s="1">
        <v>0</v>
      </c>
      <c r="Q527" s="1">
        <v>0</v>
      </c>
      <c r="R527" s="1">
        <v>0</v>
      </c>
      <c r="S527" s="13">
        <f t="shared" si="101"/>
        <v>5861284.0199999996</v>
      </c>
      <c r="T527" s="79">
        <v>2021</v>
      </c>
      <c r="U527" s="79">
        <v>2021</v>
      </c>
    </row>
    <row r="528" spans="1:21" ht="15.75">
      <c r="A528" s="79">
        <f t="shared" si="102"/>
        <v>133</v>
      </c>
      <c r="B528" s="271" t="s">
        <v>511</v>
      </c>
      <c r="C528" s="134">
        <v>1953</v>
      </c>
      <c r="D528" s="120"/>
      <c r="E528" s="120"/>
      <c r="F528" s="135">
        <v>1140.0999999999999</v>
      </c>
      <c r="G528" s="135">
        <v>606.70000000000005</v>
      </c>
      <c r="H528" s="1">
        <f t="shared" si="100"/>
        <v>10164100.16</v>
      </c>
      <c r="I528" s="1">
        <f>ROUND((G528*(598.59+659.34+1015.78+2933.55)+1197448.78)*1.015,2)</f>
        <v>4422043.82</v>
      </c>
      <c r="J528" s="1">
        <v>0</v>
      </c>
      <c r="K528" s="1">
        <f>ROUND(G528*8645.31*1.015,2)</f>
        <v>5323786.22</v>
      </c>
      <c r="L528" s="1">
        <v>0</v>
      </c>
      <c r="M528" s="1">
        <v>0</v>
      </c>
      <c r="N528" s="1">
        <v>0</v>
      </c>
      <c r="O528" s="1">
        <v>418270.12</v>
      </c>
      <c r="P528" s="1">
        <v>0</v>
      </c>
      <c r="Q528" s="1">
        <v>0</v>
      </c>
      <c r="R528" s="1">
        <v>0</v>
      </c>
      <c r="S528" s="1">
        <f t="shared" si="101"/>
        <v>10164100.16</v>
      </c>
      <c r="T528" s="79">
        <v>2021</v>
      </c>
      <c r="U528" s="79">
        <v>2021</v>
      </c>
    </row>
    <row r="529" spans="1:21" ht="15.75">
      <c r="A529" s="79">
        <f t="shared" si="102"/>
        <v>134</v>
      </c>
      <c r="B529" s="266" t="s">
        <v>512</v>
      </c>
      <c r="C529" s="42">
        <v>1956</v>
      </c>
      <c r="D529" s="120"/>
      <c r="E529" s="120"/>
      <c r="F529" s="43">
        <v>1163</v>
      </c>
      <c r="G529" s="44">
        <v>628.70000000000005</v>
      </c>
      <c r="H529" s="1">
        <f t="shared" si="100"/>
        <v>7245951.8099999996</v>
      </c>
      <c r="I529" s="1">
        <f>ROUND(G529*(598.59+659.34+1015.78)*1.015,2)</f>
        <v>1450923.7</v>
      </c>
      <c r="J529" s="1">
        <v>0</v>
      </c>
      <c r="K529" s="1">
        <f>ROUND(G529*8645.31*1.015,2)</f>
        <v>5516835.9900000002</v>
      </c>
      <c r="L529" s="1">
        <v>0</v>
      </c>
      <c r="M529" s="1">
        <v>0</v>
      </c>
      <c r="N529" s="1">
        <v>0</v>
      </c>
      <c r="O529" s="1">
        <v>278192.12</v>
      </c>
      <c r="P529" s="1">
        <v>0</v>
      </c>
      <c r="Q529" s="1">
        <v>0</v>
      </c>
      <c r="R529" s="1">
        <v>0</v>
      </c>
      <c r="S529" s="1">
        <f t="shared" si="101"/>
        <v>7245951.8099999996</v>
      </c>
      <c r="T529" s="79">
        <v>2021</v>
      </c>
      <c r="U529" s="79">
        <v>2021</v>
      </c>
    </row>
    <row r="530" spans="1:21" ht="15.75">
      <c r="A530" s="79">
        <f t="shared" si="102"/>
        <v>135</v>
      </c>
      <c r="B530" s="213" t="s">
        <v>513</v>
      </c>
      <c r="C530" s="134">
        <v>1965</v>
      </c>
      <c r="D530" s="120"/>
      <c r="E530" s="120"/>
      <c r="F530" s="90">
        <v>3396.3</v>
      </c>
      <c r="G530" s="92">
        <v>2025.3</v>
      </c>
      <c r="H530" s="1">
        <f t="shared" si="100"/>
        <v>18803003.52</v>
      </c>
      <c r="I530" s="1">
        <f>ROUND((G530*(596.38+589.88+1074.75)+1197448.78)*1.015,2)</f>
        <v>5863322.4199999999</v>
      </c>
      <c r="J530" s="1">
        <v>0</v>
      </c>
      <c r="K530" s="1">
        <f>ROUND(G530*5975.33*1.015,2)</f>
        <v>12283363.390000001</v>
      </c>
      <c r="L530" s="1">
        <v>0</v>
      </c>
      <c r="M530" s="1">
        <v>0</v>
      </c>
      <c r="N530" s="1">
        <v>0</v>
      </c>
      <c r="O530" s="1">
        <v>656317.71</v>
      </c>
      <c r="P530" s="1">
        <v>0</v>
      </c>
      <c r="Q530" s="1">
        <v>0</v>
      </c>
      <c r="R530" s="1">
        <v>0</v>
      </c>
      <c r="S530" s="1">
        <f t="shared" si="101"/>
        <v>18803003.52</v>
      </c>
      <c r="T530" s="79">
        <v>2021</v>
      </c>
      <c r="U530" s="79">
        <v>2021</v>
      </c>
    </row>
    <row r="531" spans="1:21" ht="15.75">
      <c r="A531" s="79">
        <f t="shared" si="102"/>
        <v>136</v>
      </c>
      <c r="B531" s="210" t="s">
        <v>514</v>
      </c>
      <c r="C531" s="134">
        <v>1991</v>
      </c>
      <c r="D531" s="120"/>
      <c r="E531" s="120"/>
      <c r="F531" s="90">
        <v>5088.3999999999996</v>
      </c>
      <c r="G531" s="90">
        <v>3695.8</v>
      </c>
      <c r="H531" s="1">
        <f t="shared" si="100"/>
        <v>3037801.66</v>
      </c>
      <c r="I531" s="1">
        <v>0</v>
      </c>
      <c r="J531" s="1">
        <f>3037801.66*1-O531</f>
        <v>2961856.62</v>
      </c>
      <c r="K531" s="1">
        <v>0</v>
      </c>
      <c r="L531" s="1">
        <v>0</v>
      </c>
      <c r="M531" s="1">
        <v>0</v>
      </c>
      <c r="N531" s="1">
        <v>0</v>
      </c>
      <c r="O531" s="1">
        <v>75945.039999999994</v>
      </c>
      <c r="P531" s="1">
        <v>0</v>
      </c>
      <c r="Q531" s="1">
        <v>0</v>
      </c>
      <c r="R531" s="1">
        <v>0</v>
      </c>
      <c r="S531" s="13">
        <f t="shared" si="101"/>
        <v>3037801.66</v>
      </c>
      <c r="T531" s="79">
        <v>2021</v>
      </c>
      <c r="U531" s="79">
        <v>2021</v>
      </c>
    </row>
    <row r="532" spans="1:21" ht="15.75">
      <c r="A532" s="79">
        <f t="shared" si="102"/>
        <v>137</v>
      </c>
      <c r="B532" s="210" t="s">
        <v>515</v>
      </c>
      <c r="C532" s="134">
        <v>1993</v>
      </c>
      <c r="D532" s="120"/>
      <c r="E532" s="120"/>
      <c r="F532" s="90">
        <v>5087.7</v>
      </c>
      <c r="G532" s="92">
        <v>3691.5</v>
      </c>
      <c r="H532" s="1">
        <f t="shared" si="100"/>
        <v>3037801.66</v>
      </c>
      <c r="I532" s="1">
        <v>0</v>
      </c>
      <c r="J532" s="1">
        <f>3037801.66*1-O532</f>
        <v>2961856.62</v>
      </c>
      <c r="K532" s="1">
        <v>0</v>
      </c>
      <c r="L532" s="1">
        <v>0</v>
      </c>
      <c r="M532" s="1">
        <v>0</v>
      </c>
      <c r="N532" s="1">
        <v>0</v>
      </c>
      <c r="O532" s="1">
        <v>75945.039999999994</v>
      </c>
      <c r="P532" s="1">
        <v>0</v>
      </c>
      <c r="Q532" s="1">
        <v>0</v>
      </c>
      <c r="R532" s="1">
        <v>0</v>
      </c>
      <c r="S532" s="13">
        <f t="shared" si="101"/>
        <v>3037801.66</v>
      </c>
      <c r="T532" s="79">
        <v>2021</v>
      </c>
      <c r="U532" s="79">
        <v>2021</v>
      </c>
    </row>
    <row r="533" spans="1:21" ht="15.75">
      <c r="A533" s="79">
        <f t="shared" si="102"/>
        <v>138</v>
      </c>
      <c r="B533" s="219" t="s">
        <v>516</v>
      </c>
      <c r="C533" s="134">
        <v>1987</v>
      </c>
      <c r="D533" s="120"/>
      <c r="E533" s="120"/>
      <c r="F533" s="90">
        <v>19602.7</v>
      </c>
      <c r="G533" s="92">
        <v>14758.7</v>
      </c>
      <c r="H533" s="1">
        <f t="shared" si="100"/>
        <v>28674420.690000001</v>
      </c>
      <c r="I533" s="1">
        <v>0</v>
      </c>
      <c r="J533" s="1">
        <v>0</v>
      </c>
      <c r="K533" s="1">
        <f>(G533*1914.17)*1.015</f>
        <v>28674420.690000001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/>
      <c r="R533" s="1">
        <v>0</v>
      </c>
      <c r="S533" s="13">
        <f t="shared" si="101"/>
        <v>28674420.690000001</v>
      </c>
      <c r="T533" s="79">
        <v>2021</v>
      </c>
      <c r="U533" s="79">
        <v>2021</v>
      </c>
    </row>
    <row r="534" spans="1:21" ht="15.75">
      <c r="A534" s="79">
        <f t="shared" si="102"/>
        <v>139</v>
      </c>
      <c r="B534" s="219" t="s">
        <v>517</v>
      </c>
      <c r="C534" s="134">
        <v>1973</v>
      </c>
      <c r="D534" s="120"/>
      <c r="E534" s="120"/>
      <c r="F534" s="90">
        <v>3850.3</v>
      </c>
      <c r="G534" s="92">
        <v>2710.9</v>
      </c>
      <c r="H534" s="1">
        <f>K534+O534</f>
        <v>7060972.79</v>
      </c>
      <c r="I534" s="1">
        <v>0</v>
      </c>
      <c r="J534" s="1">
        <v>0</v>
      </c>
      <c r="K534" s="1">
        <v>6637314.4199999999</v>
      </c>
      <c r="L534" s="1">
        <v>0</v>
      </c>
      <c r="M534" s="1">
        <v>0</v>
      </c>
      <c r="N534" s="1">
        <v>0</v>
      </c>
      <c r="O534" s="1">
        <v>423658.37</v>
      </c>
      <c r="P534" s="38">
        <f>ROUND(H534*0.71,2)</f>
        <v>5013290.68</v>
      </c>
      <c r="Q534" s="1">
        <f>ROUND(H534*0.29,2)</f>
        <v>2047682.11</v>
      </c>
      <c r="R534" s="1">
        <v>0</v>
      </c>
      <c r="S534" s="13" t="s">
        <v>59</v>
      </c>
      <c r="T534" s="79">
        <v>2021</v>
      </c>
      <c r="U534" s="79">
        <v>2021</v>
      </c>
    </row>
    <row r="535" spans="1:21" ht="15.75">
      <c r="A535" s="79">
        <f t="shared" si="102"/>
        <v>140</v>
      </c>
      <c r="B535" s="219" t="s">
        <v>518</v>
      </c>
      <c r="C535" s="134">
        <v>1990</v>
      </c>
      <c r="D535" s="120"/>
      <c r="E535" s="120"/>
      <c r="F535" s="90">
        <v>2400.9</v>
      </c>
      <c r="G535" s="92">
        <v>1459.9</v>
      </c>
      <c r="H535" s="1">
        <f>K535+O535</f>
        <v>3802650.32</v>
      </c>
      <c r="I535" s="1">
        <v>0</v>
      </c>
      <c r="J535" s="1">
        <v>0</v>
      </c>
      <c r="K535" s="1">
        <v>3574491.3</v>
      </c>
      <c r="L535" s="1">
        <v>0</v>
      </c>
      <c r="M535" s="1">
        <v>0</v>
      </c>
      <c r="N535" s="1">
        <v>0</v>
      </c>
      <c r="O535" s="1">
        <v>228159.02</v>
      </c>
      <c r="P535" s="38">
        <f>ROUND(H535*0.71,2)</f>
        <v>2699881.73</v>
      </c>
      <c r="Q535" s="1">
        <f>ROUND(H535*0.29,2)</f>
        <v>1102768.5900000001</v>
      </c>
      <c r="R535" s="1">
        <v>0</v>
      </c>
      <c r="S535" s="13" t="s">
        <v>59</v>
      </c>
      <c r="T535" s="79">
        <v>2021</v>
      </c>
      <c r="U535" s="79">
        <v>2021</v>
      </c>
    </row>
    <row r="536" spans="1:21" ht="15.75">
      <c r="A536" s="79">
        <f t="shared" si="102"/>
        <v>141</v>
      </c>
      <c r="B536" s="219" t="s">
        <v>519</v>
      </c>
      <c r="C536" s="134">
        <v>1990</v>
      </c>
      <c r="D536" s="120"/>
      <c r="E536" s="120"/>
      <c r="F536" s="90">
        <v>4999.6000000000004</v>
      </c>
      <c r="G536" s="92">
        <v>3429.6</v>
      </c>
      <c r="H536" s="1">
        <f>K536+O536</f>
        <v>8932944.9399999995</v>
      </c>
      <c r="I536" s="1">
        <v>0</v>
      </c>
      <c r="J536" s="1">
        <v>0</v>
      </c>
      <c r="K536" s="1">
        <v>8396968.25</v>
      </c>
      <c r="L536" s="1">
        <v>0</v>
      </c>
      <c r="M536" s="1">
        <v>0</v>
      </c>
      <c r="N536" s="1">
        <v>0</v>
      </c>
      <c r="O536" s="1">
        <v>535976.68999999994</v>
      </c>
      <c r="P536" s="38">
        <f>ROUND(H536*0.71,2)</f>
        <v>6342390.9100000001</v>
      </c>
      <c r="Q536" s="1">
        <f>ROUND(H536*0.29,2)</f>
        <v>2590554.0299999998</v>
      </c>
      <c r="R536" s="1">
        <v>0</v>
      </c>
      <c r="S536" s="13" t="s">
        <v>59</v>
      </c>
      <c r="T536" s="79">
        <v>2021</v>
      </c>
      <c r="U536" s="79">
        <v>2021</v>
      </c>
    </row>
    <row r="537" spans="1:21" ht="15.75">
      <c r="A537" s="79">
        <f t="shared" si="102"/>
        <v>142</v>
      </c>
      <c r="B537" s="219" t="s">
        <v>520</v>
      </c>
      <c r="C537" s="134">
        <v>1985</v>
      </c>
      <c r="D537" s="120"/>
      <c r="E537" s="120"/>
      <c r="F537" s="90">
        <v>4914.3</v>
      </c>
      <c r="G537" s="92">
        <v>3368.2</v>
      </c>
      <c r="H537" s="1">
        <f>K537+O537</f>
        <v>8819902.6899999995</v>
      </c>
      <c r="I537" s="1">
        <v>0</v>
      </c>
      <c r="J537" s="1">
        <v>0</v>
      </c>
      <c r="K537" s="1">
        <v>8290708.5300000003</v>
      </c>
      <c r="L537" s="1">
        <v>0</v>
      </c>
      <c r="M537" s="1">
        <v>0</v>
      </c>
      <c r="N537" s="1">
        <v>0</v>
      </c>
      <c r="O537" s="1">
        <v>529194.16</v>
      </c>
      <c r="P537" s="38">
        <f>ROUND(H537*0.71,2)</f>
        <v>6262130.9100000001</v>
      </c>
      <c r="Q537" s="1">
        <f>ROUND(H537*0.29,2)</f>
        <v>2557771.7799999998</v>
      </c>
      <c r="R537" s="1">
        <v>0</v>
      </c>
      <c r="S537" s="13" t="s">
        <v>59</v>
      </c>
      <c r="T537" s="79">
        <v>2021</v>
      </c>
      <c r="U537" s="79">
        <v>2021</v>
      </c>
    </row>
    <row r="538" spans="1:21" ht="15.75">
      <c r="A538" s="301" t="s">
        <v>383</v>
      </c>
      <c r="B538" s="303"/>
      <c r="C538" s="81"/>
      <c r="D538" s="79"/>
      <c r="E538" s="79"/>
      <c r="F538" s="14">
        <f t="shared" ref="F538:S538" si="103">SUM(F526:F537)</f>
        <v>53278</v>
      </c>
      <c r="G538" s="14">
        <f t="shared" si="103"/>
        <v>37263.300000000003</v>
      </c>
      <c r="H538" s="27">
        <f t="shared" si="103"/>
        <v>109943563.61</v>
      </c>
      <c r="I538" s="27">
        <f t="shared" si="103"/>
        <v>13785630.25</v>
      </c>
      <c r="J538" s="27">
        <f t="shared" si="103"/>
        <v>5923713.2400000002</v>
      </c>
      <c r="K538" s="27">
        <f t="shared" si="103"/>
        <v>86490079.590000004</v>
      </c>
      <c r="L538" s="15">
        <f t="shared" si="103"/>
        <v>0</v>
      </c>
      <c r="M538" s="15">
        <f t="shared" si="103"/>
        <v>0</v>
      </c>
      <c r="N538" s="15">
        <f t="shared" si="103"/>
        <v>0</v>
      </c>
      <c r="O538" s="27">
        <f t="shared" si="103"/>
        <v>3744140.53</v>
      </c>
      <c r="P538" s="37">
        <f t="shared" si="103"/>
        <v>20317694.23</v>
      </c>
      <c r="Q538" s="27">
        <f t="shared" si="103"/>
        <v>8298776.5099999998</v>
      </c>
      <c r="R538" s="15">
        <f t="shared" si="103"/>
        <v>0</v>
      </c>
      <c r="S538" s="27">
        <f t="shared" si="103"/>
        <v>81327092.870000005</v>
      </c>
      <c r="T538" s="16" t="s">
        <v>31</v>
      </c>
      <c r="U538" s="16" t="s">
        <v>31</v>
      </c>
    </row>
    <row r="539" spans="1:21" ht="15.75">
      <c r="A539" s="298" t="s">
        <v>524</v>
      </c>
      <c r="B539" s="299"/>
      <c r="C539" s="299"/>
      <c r="D539" s="299"/>
      <c r="E539" s="299"/>
      <c r="F539" s="299"/>
      <c r="G539" s="299"/>
      <c r="H539" s="299"/>
      <c r="I539" s="299"/>
      <c r="J539" s="299"/>
      <c r="K539" s="299"/>
      <c r="L539" s="299"/>
      <c r="M539" s="299"/>
      <c r="N539" s="299"/>
      <c r="O539" s="299"/>
      <c r="P539" s="299"/>
      <c r="Q539" s="299"/>
      <c r="R539" s="299"/>
      <c r="S539" s="299"/>
      <c r="T539" s="299"/>
      <c r="U539" s="300"/>
    </row>
    <row r="540" spans="1:21" ht="15.75">
      <c r="A540" s="79">
        <f>A537+1</f>
        <v>143</v>
      </c>
      <c r="B540" s="186" t="s">
        <v>525</v>
      </c>
      <c r="C540" s="81">
        <v>1972</v>
      </c>
      <c r="D540" s="79"/>
      <c r="E540" s="79"/>
      <c r="F540" s="92">
        <v>5107.6000000000004</v>
      </c>
      <c r="G540" s="92">
        <v>3850.2</v>
      </c>
      <c r="H540" s="1">
        <f t="shared" ref="H540:H549" si="104">I540+J540+K540+L540+M540+N540+O540</f>
        <v>13846570.27</v>
      </c>
      <c r="I540" s="1">
        <v>0</v>
      </c>
      <c r="J540" s="1">
        <v>0</v>
      </c>
      <c r="K540" s="1">
        <f>ROUND(3517.3*G540*1.015,2)</f>
        <v>13745443.09</v>
      </c>
      <c r="L540" s="1">
        <v>0</v>
      </c>
      <c r="M540" s="1">
        <v>0</v>
      </c>
      <c r="N540" s="1">
        <v>0</v>
      </c>
      <c r="O540" s="1">
        <v>101127.18</v>
      </c>
      <c r="P540" s="1">
        <v>0</v>
      </c>
      <c r="Q540" s="1">
        <v>0</v>
      </c>
      <c r="R540" s="1">
        <v>0</v>
      </c>
      <c r="S540" s="13">
        <f t="shared" ref="S540:S549" si="105">H540</f>
        <v>13846570.27</v>
      </c>
      <c r="T540" s="79">
        <v>2021</v>
      </c>
      <c r="U540" s="79">
        <v>2021</v>
      </c>
    </row>
    <row r="541" spans="1:21" ht="15.75">
      <c r="A541" s="79">
        <f t="shared" ref="A541:A549" si="106">A540+1</f>
        <v>144</v>
      </c>
      <c r="B541" s="223" t="s">
        <v>526</v>
      </c>
      <c r="C541" s="81">
        <v>1989</v>
      </c>
      <c r="D541" s="79"/>
      <c r="E541" s="79"/>
      <c r="F541" s="92">
        <v>8441.7000000000007</v>
      </c>
      <c r="G541" s="92">
        <v>7342.9</v>
      </c>
      <c r="H541" s="1">
        <f t="shared" si="104"/>
        <v>5923713.2400000002</v>
      </c>
      <c r="I541" s="1">
        <v>0</v>
      </c>
      <c r="J541" s="1">
        <f>2918085.34*1.015*2</f>
        <v>5923713.2400000002</v>
      </c>
      <c r="K541" s="136">
        <v>0</v>
      </c>
      <c r="L541" s="1">
        <v>0</v>
      </c>
      <c r="M541" s="1">
        <v>0</v>
      </c>
      <c r="N541" s="1">
        <v>0</v>
      </c>
      <c r="O541" s="1"/>
      <c r="P541" s="1">
        <v>0</v>
      </c>
      <c r="Q541" s="1">
        <v>0</v>
      </c>
      <c r="R541" s="1">
        <v>0</v>
      </c>
      <c r="S541" s="13">
        <f t="shared" si="105"/>
        <v>5923713.2400000002</v>
      </c>
      <c r="T541" s="79">
        <v>2021</v>
      </c>
      <c r="U541" s="79">
        <v>2021</v>
      </c>
    </row>
    <row r="542" spans="1:21" ht="15.75">
      <c r="A542" s="79">
        <f t="shared" si="106"/>
        <v>145</v>
      </c>
      <c r="B542" s="186" t="s">
        <v>527</v>
      </c>
      <c r="C542" s="81">
        <v>1956</v>
      </c>
      <c r="D542" s="79"/>
      <c r="E542" s="79"/>
      <c r="F542" s="92">
        <v>384.3</v>
      </c>
      <c r="G542" s="92">
        <v>219.7</v>
      </c>
      <c r="H542" s="1">
        <f t="shared" si="104"/>
        <v>2045357.66</v>
      </c>
      <c r="I542" s="1">
        <v>0</v>
      </c>
      <c r="J542" s="1">
        <v>0</v>
      </c>
      <c r="K542" s="137">
        <f>ROUND(G542*8645.31*1.015,2)</f>
        <v>1927865.23</v>
      </c>
      <c r="L542" s="1">
        <v>0</v>
      </c>
      <c r="M542" s="1">
        <v>0</v>
      </c>
      <c r="N542" s="1">
        <v>0</v>
      </c>
      <c r="O542" s="1">
        <v>117492.43</v>
      </c>
      <c r="P542" s="1">
        <v>0</v>
      </c>
      <c r="Q542" s="1">
        <v>0</v>
      </c>
      <c r="R542" s="1">
        <v>0</v>
      </c>
      <c r="S542" s="13">
        <f t="shared" si="105"/>
        <v>2045357.66</v>
      </c>
      <c r="T542" s="79">
        <v>2021</v>
      </c>
      <c r="U542" s="79">
        <v>2021</v>
      </c>
    </row>
    <row r="543" spans="1:21" ht="15.75">
      <c r="A543" s="79">
        <f t="shared" si="106"/>
        <v>146</v>
      </c>
      <c r="B543" s="186" t="s">
        <v>528</v>
      </c>
      <c r="C543" s="81">
        <v>1955</v>
      </c>
      <c r="D543" s="79"/>
      <c r="E543" s="79"/>
      <c r="F543" s="92">
        <v>555.70000000000005</v>
      </c>
      <c r="G543" s="92">
        <v>513.9</v>
      </c>
      <c r="H543" s="1">
        <f t="shared" si="104"/>
        <v>4647719.91</v>
      </c>
      <c r="I543" s="1">
        <v>0</v>
      </c>
      <c r="J543" s="1">
        <v>0</v>
      </c>
      <c r="K543" s="137">
        <f>ROUND(G543*8645.31*1.015,2)</f>
        <v>4509467.18</v>
      </c>
      <c r="L543" s="1">
        <v>0</v>
      </c>
      <c r="M543" s="1">
        <v>0</v>
      </c>
      <c r="N543" s="1">
        <v>0</v>
      </c>
      <c r="O543" s="1">
        <v>138252.73000000001</v>
      </c>
      <c r="P543" s="1">
        <v>0</v>
      </c>
      <c r="Q543" s="1">
        <v>0</v>
      </c>
      <c r="R543" s="1">
        <v>0</v>
      </c>
      <c r="S543" s="13">
        <f t="shared" si="105"/>
        <v>4647719.91</v>
      </c>
      <c r="T543" s="79">
        <v>2021</v>
      </c>
      <c r="U543" s="79">
        <v>2021</v>
      </c>
    </row>
    <row r="544" spans="1:21" ht="15.75">
      <c r="A544" s="79">
        <f t="shared" si="106"/>
        <v>147</v>
      </c>
      <c r="B544" s="186" t="s">
        <v>529</v>
      </c>
      <c r="C544" s="81">
        <v>1966</v>
      </c>
      <c r="D544" s="79"/>
      <c r="E544" s="79"/>
      <c r="F544" s="92">
        <v>860</v>
      </c>
      <c r="G544" s="92">
        <v>785.6</v>
      </c>
      <c r="H544" s="1">
        <f t="shared" si="104"/>
        <v>5501315.29</v>
      </c>
      <c r="I544" s="1">
        <v>0</v>
      </c>
      <c r="J544" s="1">
        <v>0</v>
      </c>
      <c r="K544" s="137">
        <f>ROUND(G544*6720.93*1.015,2)</f>
        <v>5359162.05</v>
      </c>
      <c r="L544" s="1">
        <v>0</v>
      </c>
      <c r="M544" s="1">
        <v>0</v>
      </c>
      <c r="N544" s="1">
        <v>0</v>
      </c>
      <c r="O544" s="1">
        <v>142153.24</v>
      </c>
      <c r="P544" s="1">
        <v>0</v>
      </c>
      <c r="Q544" s="1">
        <v>0</v>
      </c>
      <c r="R544" s="1">
        <v>0</v>
      </c>
      <c r="S544" s="13">
        <f t="shared" si="105"/>
        <v>5501315.29</v>
      </c>
      <c r="T544" s="79">
        <v>2021</v>
      </c>
      <c r="U544" s="79">
        <v>2022</v>
      </c>
    </row>
    <row r="545" spans="1:21" ht="15.75">
      <c r="A545" s="79">
        <f t="shared" si="106"/>
        <v>148</v>
      </c>
      <c r="B545" s="186" t="s">
        <v>530</v>
      </c>
      <c r="C545" s="81">
        <v>1984</v>
      </c>
      <c r="D545" s="79"/>
      <c r="E545" s="79"/>
      <c r="F545" s="92">
        <v>679.8</v>
      </c>
      <c r="G545" s="92">
        <v>606.1</v>
      </c>
      <c r="H545" s="1">
        <f t="shared" si="104"/>
        <v>4263801.1900000004</v>
      </c>
      <c r="I545" s="1">
        <v>0</v>
      </c>
      <c r="J545" s="1">
        <v>0</v>
      </c>
      <c r="K545" s="137">
        <f>ROUND(G545*6720.93*1.015,2)</f>
        <v>4134659.01</v>
      </c>
      <c r="L545" s="1">
        <v>0</v>
      </c>
      <c r="M545" s="1">
        <v>0</v>
      </c>
      <c r="N545" s="1">
        <v>0</v>
      </c>
      <c r="O545" s="1">
        <v>129142.18</v>
      </c>
      <c r="P545" s="1">
        <v>0</v>
      </c>
      <c r="Q545" s="1">
        <v>0</v>
      </c>
      <c r="R545" s="1">
        <v>0</v>
      </c>
      <c r="S545" s="13">
        <f t="shared" si="105"/>
        <v>4263801.1900000004</v>
      </c>
      <c r="T545" s="79">
        <v>2021</v>
      </c>
      <c r="U545" s="79">
        <v>2022</v>
      </c>
    </row>
    <row r="546" spans="1:21" ht="15.75">
      <c r="A546" s="79">
        <f t="shared" si="106"/>
        <v>149</v>
      </c>
      <c r="B546" s="186" t="s">
        <v>531</v>
      </c>
      <c r="C546" s="81">
        <v>1954</v>
      </c>
      <c r="D546" s="79"/>
      <c r="E546" s="79"/>
      <c r="F546" s="92">
        <v>994.2</v>
      </c>
      <c r="G546" s="92">
        <v>870.8</v>
      </c>
      <c r="H546" s="1">
        <f t="shared" si="104"/>
        <v>5872662.8300000001</v>
      </c>
      <c r="I546" s="1">
        <v>0</v>
      </c>
      <c r="J546" s="1">
        <v>0</v>
      </c>
      <c r="K546" s="109">
        <v>0</v>
      </c>
      <c r="L546" s="1">
        <v>0</v>
      </c>
      <c r="M546" s="1">
        <f>ROUND(6480.9*G546*1.015,2)</f>
        <v>5728221.2400000002</v>
      </c>
      <c r="N546" s="1">
        <v>0</v>
      </c>
      <c r="O546" s="1">
        <v>144441.59</v>
      </c>
      <c r="P546" s="1">
        <v>0</v>
      </c>
      <c r="Q546" s="1">
        <v>0</v>
      </c>
      <c r="R546" s="1">
        <v>0</v>
      </c>
      <c r="S546" s="13">
        <f t="shared" si="105"/>
        <v>5872662.8300000001</v>
      </c>
      <c r="T546" s="79">
        <v>2021</v>
      </c>
      <c r="U546" s="79">
        <v>2021</v>
      </c>
    </row>
    <row r="547" spans="1:21" ht="15.75">
      <c r="A547" s="79">
        <f t="shared" si="106"/>
        <v>150</v>
      </c>
      <c r="B547" s="186" t="s">
        <v>532</v>
      </c>
      <c r="C547" s="81">
        <v>1955</v>
      </c>
      <c r="D547" s="79"/>
      <c r="E547" s="79"/>
      <c r="F547" s="92">
        <v>241.3</v>
      </c>
      <c r="G547" s="92">
        <v>218.7</v>
      </c>
      <c r="H547" s="1">
        <f t="shared" si="104"/>
        <v>1547362.36</v>
      </c>
      <c r="I547" s="1">
        <v>0</v>
      </c>
      <c r="J547" s="1">
        <v>0</v>
      </c>
      <c r="K547" s="109">
        <v>0</v>
      </c>
      <c r="L547" s="1">
        <v>0</v>
      </c>
      <c r="M547" s="1">
        <f>ROUND(6480.9*G547*1.015,2)</f>
        <v>1438633.42</v>
      </c>
      <c r="N547" s="1">
        <v>0</v>
      </c>
      <c r="O547" s="1">
        <v>108728.94</v>
      </c>
      <c r="P547" s="1">
        <v>0</v>
      </c>
      <c r="Q547" s="1">
        <v>0</v>
      </c>
      <c r="R547" s="1">
        <v>0</v>
      </c>
      <c r="S547" s="13">
        <f t="shared" si="105"/>
        <v>1547362.36</v>
      </c>
      <c r="T547" s="79">
        <v>2021</v>
      </c>
      <c r="U547" s="79">
        <v>2021</v>
      </c>
    </row>
    <row r="548" spans="1:21" ht="15.75">
      <c r="A548" s="79">
        <f t="shared" si="106"/>
        <v>151</v>
      </c>
      <c r="B548" s="186" t="s">
        <v>533</v>
      </c>
      <c r="C548" s="81">
        <v>1955</v>
      </c>
      <c r="D548" s="79"/>
      <c r="E548" s="79"/>
      <c r="F548" s="92">
        <v>234.1</v>
      </c>
      <c r="G548" s="92">
        <v>212.3</v>
      </c>
      <c r="H548" s="1">
        <f t="shared" si="104"/>
        <v>1504929.39</v>
      </c>
      <c r="I548" s="1">
        <v>0</v>
      </c>
      <c r="J548" s="1">
        <v>0</v>
      </c>
      <c r="K548" s="109">
        <v>0</v>
      </c>
      <c r="L548" s="1">
        <v>0</v>
      </c>
      <c r="M548" s="1">
        <f>ROUND(6480.9*G548*1.015,2)</f>
        <v>1396533.5</v>
      </c>
      <c r="N548" s="1">
        <v>0</v>
      </c>
      <c r="O548" s="1">
        <v>108395.89</v>
      </c>
      <c r="P548" s="1">
        <v>0</v>
      </c>
      <c r="Q548" s="1">
        <v>0</v>
      </c>
      <c r="R548" s="1">
        <v>0</v>
      </c>
      <c r="S548" s="13">
        <f t="shared" si="105"/>
        <v>1504929.39</v>
      </c>
      <c r="T548" s="79">
        <v>2021</v>
      </c>
      <c r="U548" s="79">
        <v>2021</v>
      </c>
    </row>
    <row r="549" spans="1:21" ht="15.75">
      <c r="A549" s="79">
        <f t="shared" si="106"/>
        <v>152</v>
      </c>
      <c r="B549" s="186" t="s">
        <v>534</v>
      </c>
      <c r="C549" s="81">
        <v>1953</v>
      </c>
      <c r="D549" s="79"/>
      <c r="E549" s="79"/>
      <c r="F549" s="92">
        <v>996.3</v>
      </c>
      <c r="G549" s="92">
        <v>889.1</v>
      </c>
      <c r="H549" s="1">
        <f t="shared" si="104"/>
        <v>5993670.5899999999</v>
      </c>
      <c r="I549" s="1">
        <v>0</v>
      </c>
      <c r="J549" s="1">
        <v>0</v>
      </c>
      <c r="K549" s="109">
        <v>0</v>
      </c>
      <c r="L549" s="1">
        <v>0</v>
      </c>
      <c r="M549" s="1">
        <f>ROUND(6480.9*G549*1.015,2)</f>
        <v>5848600.71</v>
      </c>
      <c r="N549" s="1">
        <v>0</v>
      </c>
      <c r="O549" s="1">
        <v>145069.88</v>
      </c>
      <c r="P549" s="1">
        <v>0</v>
      </c>
      <c r="Q549" s="1">
        <v>0</v>
      </c>
      <c r="R549" s="1">
        <v>0</v>
      </c>
      <c r="S549" s="13">
        <f t="shared" si="105"/>
        <v>5993670.5899999999</v>
      </c>
      <c r="T549" s="79">
        <v>2021</v>
      </c>
      <c r="U549" s="79">
        <v>2021</v>
      </c>
    </row>
    <row r="550" spans="1:21" ht="15.75">
      <c r="A550" s="301" t="s">
        <v>383</v>
      </c>
      <c r="B550" s="303"/>
      <c r="C550" s="81"/>
      <c r="D550" s="79"/>
      <c r="E550" s="79"/>
      <c r="F550" s="14">
        <f t="shared" ref="F550:S550" si="107">SUM(F540:F549)</f>
        <v>18495</v>
      </c>
      <c r="G550" s="14">
        <f t="shared" si="107"/>
        <v>15509.3</v>
      </c>
      <c r="H550" s="15">
        <f t="shared" si="107"/>
        <v>51147102.729999997</v>
      </c>
      <c r="I550" s="15">
        <f t="shared" si="107"/>
        <v>0</v>
      </c>
      <c r="J550" s="15">
        <f t="shared" si="107"/>
        <v>5923713.2400000002</v>
      </c>
      <c r="K550" s="15">
        <f t="shared" si="107"/>
        <v>29676596.559999999</v>
      </c>
      <c r="L550" s="15">
        <f t="shared" si="107"/>
        <v>0</v>
      </c>
      <c r="M550" s="15">
        <f t="shared" si="107"/>
        <v>14411988.869999999</v>
      </c>
      <c r="N550" s="15">
        <f t="shared" si="107"/>
        <v>0</v>
      </c>
      <c r="O550" s="15">
        <f t="shared" si="107"/>
        <v>1134804.06</v>
      </c>
      <c r="P550" s="15">
        <f t="shared" si="107"/>
        <v>0</v>
      </c>
      <c r="Q550" s="15">
        <f t="shared" si="107"/>
        <v>0</v>
      </c>
      <c r="R550" s="15">
        <f t="shared" si="107"/>
        <v>0</v>
      </c>
      <c r="S550" s="15">
        <f t="shared" si="107"/>
        <v>51147102.729999997</v>
      </c>
      <c r="T550" s="16" t="s">
        <v>31</v>
      </c>
      <c r="U550" s="16" t="s">
        <v>31</v>
      </c>
    </row>
    <row r="551" spans="1:21" ht="15.75">
      <c r="A551" s="298" t="s">
        <v>535</v>
      </c>
      <c r="B551" s="299"/>
      <c r="C551" s="299"/>
      <c r="D551" s="299"/>
      <c r="E551" s="299"/>
      <c r="F551" s="299"/>
      <c r="G551" s="299"/>
      <c r="H551" s="299"/>
      <c r="I551" s="299"/>
      <c r="J551" s="299"/>
      <c r="K551" s="299"/>
      <c r="L551" s="299"/>
      <c r="M551" s="299"/>
      <c r="N551" s="299"/>
      <c r="O551" s="299"/>
      <c r="P551" s="299"/>
      <c r="Q551" s="299"/>
      <c r="R551" s="299"/>
      <c r="S551" s="299"/>
      <c r="T551" s="299"/>
      <c r="U551" s="300"/>
    </row>
    <row r="552" spans="1:21" ht="15.75">
      <c r="A552" s="79">
        <f>A549+1</f>
        <v>153</v>
      </c>
      <c r="B552" s="255" t="s">
        <v>536</v>
      </c>
      <c r="C552" s="89">
        <v>1974</v>
      </c>
      <c r="D552" s="95"/>
      <c r="E552" s="95"/>
      <c r="F552" s="45">
        <v>6350.1</v>
      </c>
      <c r="G552" s="138">
        <v>5355.5</v>
      </c>
      <c r="H552" s="1">
        <f>I552+J552+K552+L552+M552+N552+O552</f>
        <v>8250785</v>
      </c>
      <c r="I552" s="1">
        <v>0</v>
      </c>
      <c r="J552" s="1">
        <v>0</v>
      </c>
      <c r="K552" s="1">
        <v>0</v>
      </c>
      <c r="L552" s="1">
        <v>0</v>
      </c>
      <c r="M552" s="46">
        <v>8250785</v>
      </c>
      <c r="N552" s="1">
        <v>0</v>
      </c>
      <c r="O552" s="1">
        <v>0</v>
      </c>
      <c r="P552" s="1">
        <v>0</v>
      </c>
      <c r="Q552" s="1">
        <v>0</v>
      </c>
      <c r="R552" s="1">
        <v>0</v>
      </c>
      <c r="S552" s="13">
        <f t="shared" ref="S552:S570" si="108">H552</f>
        <v>8250785</v>
      </c>
      <c r="T552" s="79">
        <v>2021</v>
      </c>
      <c r="U552" s="79">
        <v>2021</v>
      </c>
    </row>
    <row r="553" spans="1:21" ht="15.75">
      <c r="A553" s="79">
        <f t="shared" ref="A553:A571" si="109">A552+1</f>
        <v>154</v>
      </c>
      <c r="B553" s="255" t="s">
        <v>537</v>
      </c>
      <c r="C553" s="89">
        <v>1988</v>
      </c>
      <c r="D553" s="95"/>
      <c r="E553" s="95"/>
      <c r="F553" s="45">
        <v>5805.8</v>
      </c>
      <c r="G553" s="138">
        <v>5074</v>
      </c>
      <c r="H553" s="1">
        <v>4260240</v>
      </c>
      <c r="I553" s="1">
        <v>0</v>
      </c>
      <c r="J553" s="1">
        <v>0</v>
      </c>
      <c r="K553" s="1">
        <v>4260240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3">
        <f t="shared" si="108"/>
        <v>4260240</v>
      </c>
      <c r="T553" s="79">
        <v>2021</v>
      </c>
      <c r="U553" s="79">
        <v>2021</v>
      </c>
    </row>
    <row r="554" spans="1:21" ht="15.75">
      <c r="A554" s="79">
        <f t="shared" si="109"/>
        <v>155</v>
      </c>
      <c r="B554" s="255" t="s">
        <v>538</v>
      </c>
      <c r="C554" s="89">
        <v>1988</v>
      </c>
      <c r="D554" s="95"/>
      <c r="E554" s="95"/>
      <c r="F554" s="45">
        <v>2741.1</v>
      </c>
      <c r="G554" s="138">
        <v>2372.8000000000002</v>
      </c>
      <c r="H554" s="1">
        <f>I554+J554+K554+L554+M554+N554+O554</f>
        <v>2112450</v>
      </c>
      <c r="I554" s="1">
        <v>0</v>
      </c>
      <c r="J554" s="1">
        <v>0</v>
      </c>
      <c r="K554" s="1">
        <v>2112450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3">
        <f t="shared" si="108"/>
        <v>2112450</v>
      </c>
      <c r="T554" s="79">
        <v>2021</v>
      </c>
      <c r="U554" s="79">
        <v>2021</v>
      </c>
    </row>
    <row r="555" spans="1:21" ht="15.75">
      <c r="A555" s="79">
        <f t="shared" si="109"/>
        <v>156</v>
      </c>
      <c r="B555" s="255" t="s">
        <v>539</v>
      </c>
      <c r="C555" s="89">
        <v>1962</v>
      </c>
      <c r="D555" s="95"/>
      <c r="E555" s="95"/>
      <c r="F555" s="45">
        <v>3906.9</v>
      </c>
      <c r="G555" s="138">
        <v>3427.6</v>
      </c>
      <c r="H555" s="1">
        <f>I555+J555+K555+L555+M555+N555+O555</f>
        <v>4468561</v>
      </c>
      <c r="I555" s="1">
        <v>0</v>
      </c>
      <c r="J555" s="1">
        <v>0</v>
      </c>
      <c r="K555" s="1">
        <v>4468561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3">
        <f t="shared" si="108"/>
        <v>4468561</v>
      </c>
      <c r="T555" s="79">
        <v>2021</v>
      </c>
      <c r="U555" s="79">
        <v>2021</v>
      </c>
    </row>
    <row r="556" spans="1:21" ht="15.75">
      <c r="A556" s="79">
        <f t="shared" si="109"/>
        <v>157</v>
      </c>
      <c r="B556" s="255" t="s">
        <v>540</v>
      </c>
      <c r="C556" s="89">
        <v>1971</v>
      </c>
      <c r="D556" s="95"/>
      <c r="E556" s="95"/>
      <c r="F556" s="45">
        <v>4289.2</v>
      </c>
      <c r="G556" s="138">
        <v>4023.7</v>
      </c>
      <c r="H556" s="1">
        <f>I556+J556+K556+L556+M556+N556+O556</f>
        <v>2020000</v>
      </c>
      <c r="I556" s="46">
        <v>2020000</v>
      </c>
      <c r="J556" s="1">
        <v>0</v>
      </c>
      <c r="K556" s="1">
        <v>0</v>
      </c>
      <c r="L556" s="1">
        <v>0</v>
      </c>
      <c r="M556" s="1">
        <v>0</v>
      </c>
      <c r="N556" s="1"/>
      <c r="O556" s="1">
        <v>0</v>
      </c>
      <c r="P556" s="1">
        <v>0</v>
      </c>
      <c r="Q556" s="1">
        <v>0</v>
      </c>
      <c r="R556" s="1">
        <v>0</v>
      </c>
      <c r="S556" s="13">
        <f t="shared" si="108"/>
        <v>2020000</v>
      </c>
      <c r="T556" s="79">
        <v>2021</v>
      </c>
      <c r="U556" s="79">
        <v>2021</v>
      </c>
    </row>
    <row r="557" spans="1:21" ht="15.75">
      <c r="A557" s="79">
        <f t="shared" si="109"/>
        <v>158</v>
      </c>
      <c r="B557" s="255" t="s">
        <v>541</v>
      </c>
      <c r="C557" s="89">
        <v>1960</v>
      </c>
      <c r="D557" s="95"/>
      <c r="E557" s="95"/>
      <c r="F557" s="45">
        <v>1388.9</v>
      </c>
      <c r="G557" s="138">
        <v>1294.2</v>
      </c>
      <c r="H557" s="1">
        <f>I557+J557+K557+L557+M557+N557+O557</f>
        <v>4089598.14</v>
      </c>
      <c r="I557" s="46">
        <v>588004.06000000006</v>
      </c>
      <c r="J557" s="1">
        <v>0</v>
      </c>
      <c r="K557" s="1">
        <v>0</v>
      </c>
      <c r="L557" s="1">
        <v>0</v>
      </c>
      <c r="M557" s="46">
        <f>3441156.67+60437.41</f>
        <v>3501594.08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3">
        <f t="shared" si="108"/>
        <v>4089598.14</v>
      </c>
      <c r="T557" s="79">
        <v>2021</v>
      </c>
      <c r="U557" s="79">
        <v>2021</v>
      </c>
    </row>
    <row r="558" spans="1:21" ht="15.75">
      <c r="A558" s="79">
        <f t="shared" si="109"/>
        <v>159</v>
      </c>
      <c r="B558" s="255" t="s">
        <v>542</v>
      </c>
      <c r="C558" s="89">
        <v>1958</v>
      </c>
      <c r="D558" s="95"/>
      <c r="E558" s="95"/>
      <c r="F558" s="45">
        <v>3188.2</v>
      </c>
      <c r="G558" s="138">
        <v>2883.3</v>
      </c>
      <c r="H558" s="1">
        <f>14572489.58</f>
        <v>14572489.58</v>
      </c>
      <c r="I558" s="1">
        <v>0</v>
      </c>
      <c r="J558" s="1">
        <v>0</v>
      </c>
      <c r="K558" s="1">
        <v>7951045.75</v>
      </c>
      <c r="L558" s="1">
        <v>0</v>
      </c>
      <c r="M558" s="46">
        <f>H558-K558</f>
        <v>6621443.8300000001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3">
        <f t="shared" si="108"/>
        <v>14572489.58</v>
      </c>
      <c r="T558" s="79">
        <v>2021</v>
      </c>
      <c r="U558" s="79">
        <v>2021</v>
      </c>
    </row>
    <row r="559" spans="1:21" ht="15.75">
      <c r="A559" s="79">
        <f t="shared" si="109"/>
        <v>160</v>
      </c>
      <c r="B559" s="255" t="s">
        <v>543</v>
      </c>
      <c r="C559" s="89" t="s">
        <v>544</v>
      </c>
      <c r="D559" s="95"/>
      <c r="E559" s="95"/>
      <c r="F559" s="45">
        <v>13038.6</v>
      </c>
      <c r="G559" s="138">
        <v>12124</v>
      </c>
      <c r="H559" s="1">
        <f>I559+J559+K559+L559+M559+N559+O559</f>
        <v>6075603.3200000003</v>
      </c>
      <c r="I559" s="1">
        <v>0</v>
      </c>
      <c r="J559" s="1">
        <v>6075603.3200000003</v>
      </c>
      <c r="K559" s="1">
        <v>0</v>
      </c>
      <c r="L559" s="1">
        <v>0</v>
      </c>
      <c r="M559" s="46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3">
        <f t="shared" si="108"/>
        <v>6075603.3200000003</v>
      </c>
      <c r="T559" s="79">
        <v>2021</v>
      </c>
      <c r="U559" s="79">
        <v>2021</v>
      </c>
    </row>
    <row r="560" spans="1:21" ht="15.75">
      <c r="A560" s="79">
        <f t="shared" si="109"/>
        <v>161</v>
      </c>
      <c r="B560" s="255" t="s">
        <v>545</v>
      </c>
      <c r="C560" s="89">
        <v>1989</v>
      </c>
      <c r="D560" s="95"/>
      <c r="E560" s="95"/>
      <c r="F560" s="45">
        <v>2397.1999999999998</v>
      </c>
      <c r="G560" s="138">
        <v>2145.5</v>
      </c>
      <c r="H560" s="1">
        <f>I560+J560+K560+L560+M560+N560+O560</f>
        <v>2362937.7999999998</v>
      </c>
      <c r="I560" s="1">
        <v>0</v>
      </c>
      <c r="J560" s="1">
        <v>0</v>
      </c>
      <c r="K560" s="1">
        <v>0</v>
      </c>
      <c r="L560" s="1">
        <v>0</v>
      </c>
      <c r="M560" s="46">
        <v>2362937.7999999998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3">
        <f t="shared" si="108"/>
        <v>2362937.7999999998</v>
      </c>
      <c r="T560" s="79">
        <v>2021</v>
      </c>
      <c r="U560" s="79">
        <v>2021</v>
      </c>
    </row>
    <row r="561" spans="1:21" ht="15.75">
      <c r="A561" s="79">
        <f t="shared" si="109"/>
        <v>162</v>
      </c>
      <c r="B561" s="255" t="s">
        <v>546</v>
      </c>
      <c r="C561" s="89">
        <v>1966</v>
      </c>
      <c r="D561" s="95"/>
      <c r="E561" s="95"/>
      <c r="F561" s="45">
        <v>4105.7</v>
      </c>
      <c r="G561" s="138">
        <v>3509.3</v>
      </c>
      <c r="H561" s="1">
        <f t="shared" ref="H561:H571" si="110">SUM(I561:O561)</f>
        <v>5264840</v>
      </c>
      <c r="I561" s="1">
        <v>0</v>
      </c>
      <c r="J561" s="1">
        <v>0</v>
      </c>
      <c r="K561" s="1">
        <v>5264840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3">
        <f t="shared" si="108"/>
        <v>5264840</v>
      </c>
      <c r="T561" s="79">
        <v>2021</v>
      </c>
      <c r="U561" s="79">
        <v>2021</v>
      </c>
    </row>
    <row r="562" spans="1:21" ht="15.75">
      <c r="A562" s="79">
        <f t="shared" si="109"/>
        <v>163</v>
      </c>
      <c r="B562" s="255" t="s">
        <v>547</v>
      </c>
      <c r="C562" s="89">
        <v>1972</v>
      </c>
      <c r="D562" s="95"/>
      <c r="E562" s="95"/>
      <c r="F562" s="45">
        <v>3070.9</v>
      </c>
      <c r="G562" s="138">
        <v>2761.9</v>
      </c>
      <c r="H562" s="1">
        <f t="shared" si="110"/>
        <v>1829117.94</v>
      </c>
      <c r="I562" s="46">
        <v>1829117.94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3">
        <f t="shared" si="108"/>
        <v>1829117.94</v>
      </c>
      <c r="T562" s="79">
        <v>2021</v>
      </c>
      <c r="U562" s="79">
        <v>2021</v>
      </c>
    </row>
    <row r="563" spans="1:21" ht="15.75">
      <c r="A563" s="79">
        <f t="shared" si="109"/>
        <v>164</v>
      </c>
      <c r="B563" s="255" t="s">
        <v>548</v>
      </c>
      <c r="C563" s="89">
        <v>1977</v>
      </c>
      <c r="D563" s="95"/>
      <c r="E563" s="95"/>
      <c r="F563" s="45">
        <v>2517.9</v>
      </c>
      <c r="G563" s="138">
        <v>2225.6999999999998</v>
      </c>
      <c r="H563" s="1">
        <f t="shared" si="110"/>
        <v>1647117.94</v>
      </c>
      <c r="I563" s="46">
        <v>1647117.94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3">
        <f t="shared" si="108"/>
        <v>1647117.94</v>
      </c>
      <c r="T563" s="79">
        <v>2021</v>
      </c>
      <c r="U563" s="79">
        <v>2021</v>
      </c>
    </row>
    <row r="564" spans="1:21" ht="15.75">
      <c r="A564" s="79">
        <f t="shared" si="109"/>
        <v>165</v>
      </c>
      <c r="B564" s="255" t="s">
        <v>549</v>
      </c>
      <c r="C564" s="89">
        <v>1981</v>
      </c>
      <c r="D564" s="95"/>
      <c r="E564" s="95"/>
      <c r="F564" s="45">
        <v>4023.3</v>
      </c>
      <c r="G564" s="138">
        <v>3522.5</v>
      </c>
      <c r="H564" s="1">
        <f t="shared" si="110"/>
        <v>947117.94</v>
      </c>
      <c r="I564" s="46">
        <v>947117.94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3">
        <f t="shared" si="108"/>
        <v>947117.94</v>
      </c>
      <c r="T564" s="79">
        <v>2021</v>
      </c>
      <c r="U564" s="79">
        <v>2021</v>
      </c>
    </row>
    <row r="565" spans="1:21" ht="15.75">
      <c r="A565" s="79">
        <f t="shared" si="109"/>
        <v>166</v>
      </c>
      <c r="B565" s="255" t="s">
        <v>550</v>
      </c>
      <c r="C565" s="89">
        <v>1981</v>
      </c>
      <c r="D565" s="95"/>
      <c r="E565" s="95"/>
      <c r="F565" s="45">
        <v>2380.5</v>
      </c>
      <c r="G565" s="138">
        <v>2089.6999999999998</v>
      </c>
      <c r="H565" s="1">
        <f t="shared" si="110"/>
        <v>1591117.94</v>
      </c>
      <c r="I565" s="46">
        <v>1591117.94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3">
        <f t="shared" si="108"/>
        <v>1591117.94</v>
      </c>
      <c r="T565" s="79">
        <v>2021</v>
      </c>
      <c r="U565" s="79">
        <v>2021</v>
      </c>
    </row>
    <row r="566" spans="1:21" ht="15.75">
      <c r="A566" s="79">
        <f t="shared" si="109"/>
        <v>167</v>
      </c>
      <c r="B566" s="255" t="s">
        <v>551</v>
      </c>
      <c r="C566" s="89">
        <v>1988</v>
      </c>
      <c r="D566" s="95"/>
      <c r="E566" s="95"/>
      <c r="F566" s="45">
        <v>2328.6</v>
      </c>
      <c r="G566" s="138">
        <v>2043.1</v>
      </c>
      <c r="H566" s="1">
        <f t="shared" si="110"/>
        <v>1587117.94</v>
      </c>
      <c r="I566" s="46">
        <v>1587117.94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3">
        <f t="shared" si="108"/>
        <v>1587117.94</v>
      </c>
      <c r="T566" s="79">
        <v>2021</v>
      </c>
      <c r="U566" s="79">
        <v>2021</v>
      </c>
    </row>
    <row r="567" spans="1:21" ht="15.75">
      <c r="A567" s="79">
        <f t="shared" si="109"/>
        <v>168</v>
      </c>
      <c r="B567" s="255" t="s">
        <v>552</v>
      </c>
      <c r="C567" s="79">
        <v>1986</v>
      </c>
      <c r="D567" s="139"/>
      <c r="E567" s="139"/>
      <c r="F567" s="140">
        <v>1972.1</v>
      </c>
      <c r="G567" s="140">
        <v>1837.3</v>
      </c>
      <c r="H567" s="1">
        <f t="shared" si="110"/>
        <v>1547117.94</v>
      </c>
      <c r="I567" s="141">
        <v>1547117.94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3">
        <f t="shared" si="108"/>
        <v>1547117.94</v>
      </c>
      <c r="T567" s="79">
        <v>2021</v>
      </c>
      <c r="U567" s="79">
        <v>2021</v>
      </c>
    </row>
    <row r="568" spans="1:21" ht="15.75">
      <c r="A568" s="79">
        <f t="shared" si="109"/>
        <v>169</v>
      </c>
      <c r="B568" s="255" t="s">
        <v>553</v>
      </c>
      <c r="C568" s="79">
        <v>1970</v>
      </c>
      <c r="D568" s="139"/>
      <c r="E568" s="139"/>
      <c r="F568" s="140">
        <v>2588</v>
      </c>
      <c r="G568" s="140">
        <v>2311.3000000000002</v>
      </c>
      <c r="H568" s="1">
        <f t="shared" si="110"/>
        <v>947117.94</v>
      </c>
      <c r="I568" s="141">
        <v>947117.94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3">
        <f t="shared" si="108"/>
        <v>947117.94</v>
      </c>
      <c r="T568" s="79">
        <v>2021</v>
      </c>
      <c r="U568" s="79">
        <v>2021</v>
      </c>
    </row>
    <row r="569" spans="1:21" ht="15.75">
      <c r="A569" s="79">
        <f t="shared" si="109"/>
        <v>170</v>
      </c>
      <c r="B569" s="255" t="s">
        <v>554</v>
      </c>
      <c r="C569" s="79" t="s">
        <v>555</v>
      </c>
      <c r="D569" s="139"/>
      <c r="E569" s="139"/>
      <c r="F569" s="140">
        <v>6382.3</v>
      </c>
      <c r="G569" s="140">
        <v>5613.3</v>
      </c>
      <c r="H569" s="1">
        <f t="shared" si="110"/>
        <v>947117.94</v>
      </c>
      <c r="I569" s="141">
        <v>947117.94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3">
        <f t="shared" si="108"/>
        <v>947117.94</v>
      </c>
      <c r="T569" s="79">
        <v>2021</v>
      </c>
      <c r="U569" s="79">
        <v>2021</v>
      </c>
    </row>
    <row r="570" spans="1:21" ht="15.75">
      <c r="A570" s="79">
        <f t="shared" si="109"/>
        <v>171</v>
      </c>
      <c r="B570" s="255" t="s">
        <v>556</v>
      </c>
      <c r="C570" s="79">
        <v>1939</v>
      </c>
      <c r="D570" s="139"/>
      <c r="E570" s="139"/>
      <c r="F570" s="140">
        <v>1359.5</v>
      </c>
      <c r="G570" s="140">
        <v>851.7</v>
      </c>
      <c r="H570" s="1">
        <f t="shared" si="110"/>
        <v>823160.4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41">
        <v>823160.4</v>
      </c>
      <c r="P570" s="1">
        <v>0</v>
      </c>
      <c r="Q570" s="1">
        <v>0</v>
      </c>
      <c r="R570" s="1">
        <v>0</v>
      </c>
      <c r="S570" s="13">
        <f t="shared" si="108"/>
        <v>823160.4</v>
      </c>
      <c r="T570" s="79">
        <v>2021</v>
      </c>
      <c r="U570" s="79">
        <v>2021</v>
      </c>
    </row>
    <row r="571" spans="1:21" ht="15.75">
      <c r="A571" s="79">
        <f t="shared" si="109"/>
        <v>172</v>
      </c>
      <c r="B571" s="255" t="s">
        <v>1056</v>
      </c>
      <c r="C571" s="79">
        <v>1965</v>
      </c>
      <c r="D571" s="139"/>
      <c r="E571" s="139"/>
      <c r="F571" s="140">
        <v>2689</v>
      </c>
      <c r="G571" s="140">
        <v>2506.6999999999998</v>
      </c>
      <c r="H571" s="1">
        <f t="shared" si="110"/>
        <v>8549100</v>
      </c>
      <c r="I571" s="1">
        <v>0</v>
      </c>
      <c r="J571" s="1">
        <v>0</v>
      </c>
      <c r="K571" s="1">
        <v>0</v>
      </c>
      <c r="L571" s="1">
        <v>0</v>
      </c>
      <c r="M571" s="141">
        <v>8549100</v>
      </c>
      <c r="N571" s="1">
        <v>0</v>
      </c>
      <c r="O571" s="1">
        <v>0</v>
      </c>
      <c r="P571" s="91">
        <v>6069900</v>
      </c>
      <c r="Q571" s="142">
        <v>2479200</v>
      </c>
      <c r="R571" s="1">
        <v>0</v>
      </c>
      <c r="S571" s="1">
        <v>0</v>
      </c>
      <c r="T571" s="79">
        <v>2021</v>
      </c>
      <c r="U571" s="79">
        <v>2021</v>
      </c>
    </row>
    <row r="572" spans="1:21" ht="15.75">
      <c r="A572" s="301" t="s">
        <v>383</v>
      </c>
      <c r="B572" s="303"/>
      <c r="C572" s="95"/>
      <c r="D572" s="95"/>
      <c r="E572" s="95"/>
      <c r="F572" s="15">
        <f t="shared" ref="F572:M572" si="111">SUM(F552:F571)</f>
        <v>76523.8</v>
      </c>
      <c r="G572" s="15">
        <f t="shared" si="111"/>
        <v>67973.100000000006</v>
      </c>
      <c r="H572" s="15">
        <f t="shared" si="111"/>
        <v>73892708.760000005</v>
      </c>
      <c r="I572" s="15">
        <f t="shared" si="111"/>
        <v>13650947.58</v>
      </c>
      <c r="J572" s="15">
        <f t="shared" si="111"/>
        <v>6075603.3200000003</v>
      </c>
      <c r="K572" s="15">
        <f t="shared" si="111"/>
        <v>24057136.75</v>
      </c>
      <c r="L572" s="15">
        <f t="shared" si="111"/>
        <v>0</v>
      </c>
      <c r="M572" s="15">
        <f t="shared" si="111"/>
        <v>29285860.710000001</v>
      </c>
      <c r="N572" s="15">
        <f>SUM(N552:N566)</f>
        <v>0</v>
      </c>
      <c r="O572" s="15">
        <f>SUM(O552:O571)</f>
        <v>823160.4</v>
      </c>
      <c r="P572" s="15">
        <f>SUM(P552:P571)</f>
        <v>6069900</v>
      </c>
      <c r="Q572" s="15">
        <f>SUM(Q552:Q571)</f>
        <v>2479200</v>
      </c>
      <c r="R572" s="15">
        <f>SUM(R552:R571)</f>
        <v>0</v>
      </c>
      <c r="S572" s="15">
        <f>SUM(S552:S571)</f>
        <v>65343608.759999998</v>
      </c>
      <c r="T572" s="79">
        <v>2021</v>
      </c>
      <c r="U572" s="79">
        <v>2021</v>
      </c>
    </row>
    <row r="573" spans="1:21" ht="15.75">
      <c r="A573" s="289" t="s">
        <v>557</v>
      </c>
      <c r="B573" s="289"/>
      <c r="C573" s="289"/>
      <c r="D573" s="289"/>
      <c r="E573" s="289"/>
      <c r="F573" s="289"/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</row>
    <row r="574" spans="1:21" ht="15.75">
      <c r="A574" s="79">
        <f>A571+1</f>
        <v>173</v>
      </c>
      <c r="B574" s="272" t="s">
        <v>1050</v>
      </c>
      <c r="C574" s="132">
        <v>1978</v>
      </c>
      <c r="D574" s="79"/>
      <c r="E574" s="79"/>
      <c r="F574" s="143">
        <v>3963.2</v>
      </c>
      <c r="G574" s="143">
        <v>3420.3</v>
      </c>
      <c r="H574" s="1">
        <f t="shared" ref="H574:H586" si="112">I574+J574+K574+L574+M574+N574+O574</f>
        <v>4720984.46</v>
      </c>
      <c r="I574" s="1">
        <f>ROUND((650.2+643.1)*G574*1.015,2)</f>
        <v>4489826.0999999996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44">
        <f>65239.2+65239.2+100679.96</f>
        <v>231158.36</v>
      </c>
      <c r="P574" s="1">
        <v>0</v>
      </c>
      <c r="Q574" s="1">
        <v>0</v>
      </c>
      <c r="R574" s="1">
        <v>0</v>
      </c>
      <c r="S574" s="13">
        <f t="shared" ref="S574:S586" si="113">H574</f>
        <v>4720984.46</v>
      </c>
      <c r="T574" s="79">
        <v>2021</v>
      </c>
      <c r="U574" s="79">
        <v>2021</v>
      </c>
    </row>
    <row r="575" spans="1:21" ht="15.75">
      <c r="A575" s="79">
        <f t="shared" ref="A575:A586" si="114">A574+1</f>
        <v>174</v>
      </c>
      <c r="B575" s="228" t="s">
        <v>1049</v>
      </c>
      <c r="C575" s="81">
        <v>1987</v>
      </c>
      <c r="D575" s="79"/>
      <c r="E575" s="79"/>
      <c r="F575" s="92">
        <v>3943.8</v>
      </c>
      <c r="G575" s="92">
        <v>3447.1</v>
      </c>
      <c r="H575" s="1">
        <f t="shared" si="112"/>
        <v>12408128.9</v>
      </c>
      <c r="I575" s="1">
        <v>0</v>
      </c>
      <c r="J575" s="1">
        <v>0</v>
      </c>
      <c r="K575" s="1">
        <f>ROUND(3517.3*G575*1.015,2)</f>
        <v>12306352.1</v>
      </c>
      <c r="L575" s="1">
        <v>0</v>
      </c>
      <c r="M575" s="1">
        <v>0</v>
      </c>
      <c r="N575" s="1">
        <v>0</v>
      </c>
      <c r="O575" s="144">
        <v>101776.8</v>
      </c>
      <c r="P575" s="1">
        <v>0</v>
      </c>
      <c r="Q575" s="1">
        <v>0</v>
      </c>
      <c r="R575" s="1">
        <v>0</v>
      </c>
      <c r="S575" s="13">
        <f t="shared" si="113"/>
        <v>12408128.9</v>
      </c>
      <c r="T575" s="79">
        <v>2021</v>
      </c>
      <c r="U575" s="79">
        <v>2021</v>
      </c>
    </row>
    <row r="576" spans="1:21" ht="15.75">
      <c r="A576" s="79">
        <f t="shared" si="114"/>
        <v>175</v>
      </c>
      <c r="B576" s="272" t="s">
        <v>1048</v>
      </c>
      <c r="C576" s="132">
        <v>1982</v>
      </c>
      <c r="D576" s="79"/>
      <c r="E576" s="79"/>
      <c r="F576" s="143">
        <v>3998.5</v>
      </c>
      <c r="G576" s="143">
        <v>3393.3</v>
      </c>
      <c r="H576" s="1">
        <f t="shared" si="112"/>
        <v>4384054.96</v>
      </c>
      <c r="I576" s="1">
        <f>ROUND((635.88+578.78)*G576*1.015,2)</f>
        <v>4183531.36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44">
        <f>100261.8+100261.8</f>
        <v>200523.6</v>
      </c>
      <c r="P576" s="1">
        <v>0</v>
      </c>
      <c r="Q576" s="1">
        <v>0</v>
      </c>
      <c r="R576" s="1">
        <v>0</v>
      </c>
      <c r="S576" s="13">
        <f t="shared" si="113"/>
        <v>4384054.96</v>
      </c>
      <c r="T576" s="79">
        <v>2021</v>
      </c>
      <c r="U576" s="79">
        <v>2021</v>
      </c>
    </row>
    <row r="577" spans="1:21" ht="15.75">
      <c r="A577" s="79">
        <f t="shared" si="114"/>
        <v>176</v>
      </c>
      <c r="B577" s="272" t="s">
        <v>558</v>
      </c>
      <c r="C577" s="132">
        <v>1977</v>
      </c>
      <c r="D577" s="79"/>
      <c r="E577" s="79"/>
      <c r="F577" s="143">
        <v>3957.4</v>
      </c>
      <c r="G577" s="143">
        <v>3410.9</v>
      </c>
      <c r="H577" s="1">
        <f t="shared" si="112"/>
        <v>1339410.51</v>
      </c>
      <c r="I577" s="1">
        <f t="shared" ref="I577:I586" si="115">ROUND(1197448.78*1.015,2)</f>
        <v>1215410.51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44">
        <v>124000</v>
      </c>
      <c r="P577" s="1">
        <v>0</v>
      </c>
      <c r="Q577" s="1">
        <v>0</v>
      </c>
      <c r="R577" s="1">
        <v>0</v>
      </c>
      <c r="S577" s="13">
        <f t="shared" si="113"/>
        <v>1339410.51</v>
      </c>
      <c r="T577" s="79">
        <v>2021</v>
      </c>
      <c r="U577" s="79">
        <v>2022</v>
      </c>
    </row>
    <row r="578" spans="1:21" ht="15.75">
      <c r="A578" s="79">
        <f t="shared" si="114"/>
        <v>177</v>
      </c>
      <c r="B578" s="272" t="s">
        <v>559</v>
      </c>
      <c r="C578" s="132">
        <v>1963</v>
      </c>
      <c r="D578" s="79"/>
      <c r="E578" s="79"/>
      <c r="F578" s="143">
        <v>3438.5</v>
      </c>
      <c r="G578" s="143">
        <v>2583.1999999999998</v>
      </c>
      <c r="H578" s="1">
        <f t="shared" si="112"/>
        <v>1339410.51</v>
      </c>
      <c r="I578" s="1">
        <f t="shared" si="115"/>
        <v>1215410.51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44">
        <v>124000</v>
      </c>
      <c r="P578" s="1">
        <v>0</v>
      </c>
      <c r="Q578" s="1">
        <v>0</v>
      </c>
      <c r="R578" s="1">
        <v>0</v>
      </c>
      <c r="S578" s="13">
        <f t="shared" si="113"/>
        <v>1339410.51</v>
      </c>
      <c r="T578" s="79">
        <v>2021</v>
      </c>
      <c r="U578" s="79">
        <v>2022</v>
      </c>
    </row>
    <row r="579" spans="1:21" ht="15.75">
      <c r="A579" s="79">
        <f t="shared" si="114"/>
        <v>178</v>
      </c>
      <c r="B579" s="272" t="s">
        <v>560</v>
      </c>
      <c r="C579" s="132">
        <v>1972</v>
      </c>
      <c r="D579" s="79"/>
      <c r="E579" s="79"/>
      <c r="F579" s="143">
        <v>2790.1</v>
      </c>
      <c r="G579" s="143">
        <v>2362.5</v>
      </c>
      <c r="H579" s="1">
        <f t="shared" si="112"/>
        <v>1339410.51</v>
      </c>
      <c r="I579" s="1">
        <f t="shared" si="115"/>
        <v>1215410.51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44">
        <v>124000</v>
      </c>
      <c r="P579" s="1">
        <v>0</v>
      </c>
      <c r="Q579" s="1">
        <v>0</v>
      </c>
      <c r="R579" s="1">
        <v>0</v>
      </c>
      <c r="S579" s="13">
        <f t="shared" si="113"/>
        <v>1339410.51</v>
      </c>
      <c r="T579" s="79">
        <v>2021</v>
      </c>
      <c r="U579" s="79">
        <v>2022</v>
      </c>
    </row>
    <row r="580" spans="1:21" ht="15.75">
      <c r="A580" s="79">
        <f t="shared" si="114"/>
        <v>179</v>
      </c>
      <c r="B580" s="272" t="s">
        <v>561</v>
      </c>
      <c r="C580" s="132">
        <v>1988</v>
      </c>
      <c r="D580" s="79"/>
      <c r="E580" s="79"/>
      <c r="F580" s="143">
        <v>3931.9</v>
      </c>
      <c r="G580" s="143">
        <v>3448</v>
      </c>
      <c r="H580" s="1">
        <f t="shared" si="112"/>
        <v>1339410.51</v>
      </c>
      <c r="I580" s="1">
        <f t="shared" si="115"/>
        <v>1215410.51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44">
        <v>124000</v>
      </c>
      <c r="P580" s="1">
        <v>0</v>
      </c>
      <c r="Q580" s="1">
        <v>0</v>
      </c>
      <c r="R580" s="1">
        <v>0</v>
      </c>
      <c r="S580" s="13">
        <f t="shared" si="113"/>
        <v>1339410.51</v>
      </c>
      <c r="T580" s="79">
        <v>2021</v>
      </c>
      <c r="U580" s="79">
        <v>2022</v>
      </c>
    </row>
    <row r="581" spans="1:21" ht="15.75">
      <c r="A581" s="79">
        <f t="shared" si="114"/>
        <v>180</v>
      </c>
      <c r="B581" s="272" t="s">
        <v>562</v>
      </c>
      <c r="C581" s="132">
        <v>1991</v>
      </c>
      <c r="D581" s="79"/>
      <c r="E581" s="79"/>
      <c r="F581" s="143">
        <v>4719.6000000000004</v>
      </c>
      <c r="G581" s="143">
        <v>3892.2</v>
      </c>
      <c r="H581" s="1">
        <f t="shared" si="112"/>
        <v>1339410.51</v>
      </c>
      <c r="I581" s="1">
        <f t="shared" si="115"/>
        <v>1215410.51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44">
        <v>124000</v>
      </c>
      <c r="P581" s="1">
        <v>0</v>
      </c>
      <c r="Q581" s="1">
        <v>0</v>
      </c>
      <c r="R581" s="1">
        <v>0</v>
      </c>
      <c r="S581" s="13">
        <f t="shared" si="113"/>
        <v>1339410.51</v>
      </c>
      <c r="T581" s="79">
        <v>2021</v>
      </c>
      <c r="U581" s="79">
        <v>2022</v>
      </c>
    </row>
    <row r="582" spans="1:21" ht="15.75">
      <c r="A582" s="79">
        <f t="shared" si="114"/>
        <v>181</v>
      </c>
      <c r="B582" s="272" t="s">
        <v>563</v>
      </c>
      <c r="C582" s="132">
        <v>1983</v>
      </c>
      <c r="D582" s="79"/>
      <c r="E582" s="79"/>
      <c r="F582" s="143">
        <v>3938.5</v>
      </c>
      <c r="G582" s="143">
        <v>3416.7</v>
      </c>
      <c r="H582" s="1">
        <f t="shared" si="112"/>
        <v>1339410.51</v>
      </c>
      <c r="I582" s="1">
        <f t="shared" si="115"/>
        <v>1215410.51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44">
        <v>124000</v>
      </c>
      <c r="P582" s="1">
        <v>0</v>
      </c>
      <c r="Q582" s="1">
        <v>0</v>
      </c>
      <c r="R582" s="1">
        <v>0</v>
      </c>
      <c r="S582" s="13">
        <f t="shared" si="113"/>
        <v>1339410.51</v>
      </c>
      <c r="T582" s="79">
        <v>2021</v>
      </c>
      <c r="U582" s="79">
        <v>2022</v>
      </c>
    </row>
    <row r="583" spans="1:21" ht="15.75">
      <c r="A583" s="79">
        <f t="shared" si="114"/>
        <v>182</v>
      </c>
      <c r="B583" s="272" t="s">
        <v>564</v>
      </c>
      <c r="C583" s="132">
        <v>1985</v>
      </c>
      <c r="D583" s="79"/>
      <c r="E583" s="79"/>
      <c r="F583" s="143">
        <v>2393.3000000000002</v>
      </c>
      <c r="G583" s="143">
        <v>2058.3000000000002</v>
      </c>
      <c r="H583" s="1">
        <f t="shared" si="112"/>
        <v>1339410.51</v>
      </c>
      <c r="I583" s="1">
        <f t="shared" si="115"/>
        <v>1215410.51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44">
        <v>124000</v>
      </c>
      <c r="P583" s="1">
        <v>0</v>
      </c>
      <c r="Q583" s="1">
        <v>0</v>
      </c>
      <c r="R583" s="1">
        <v>0</v>
      </c>
      <c r="S583" s="13">
        <f t="shared" si="113"/>
        <v>1339410.51</v>
      </c>
      <c r="T583" s="79">
        <v>2021</v>
      </c>
      <c r="U583" s="79">
        <v>2022</v>
      </c>
    </row>
    <row r="584" spans="1:21" ht="15.75">
      <c r="A584" s="79">
        <f t="shared" si="114"/>
        <v>183</v>
      </c>
      <c r="B584" s="272" t="s">
        <v>565</v>
      </c>
      <c r="C584" s="132">
        <v>1987</v>
      </c>
      <c r="D584" s="79"/>
      <c r="E584" s="79"/>
      <c r="F584" s="143">
        <v>3961.9</v>
      </c>
      <c r="G584" s="143">
        <v>3475.9</v>
      </c>
      <c r="H584" s="1">
        <f t="shared" si="112"/>
        <v>1339410.51</v>
      </c>
      <c r="I584" s="1">
        <f t="shared" si="115"/>
        <v>1215410.51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44">
        <v>124000</v>
      </c>
      <c r="P584" s="1">
        <v>0</v>
      </c>
      <c r="Q584" s="1">
        <v>0</v>
      </c>
      <c r="R584" s="1">
        <v>0</v>
      </c>
      <c r="S584" s="13">
        <f t="shared" si="113"/>
        <v>1339410.51</v>
      </c>
      <c r="T584" s="79">
        <v>2021</v>
      </c>
      <c r="U584" s="79">
        <v>2022</v>
      </c>
    </row>
    <row r="585" spans="1:21" ht="15.75">
      <c r="A585" s="79">
        <f t="shared" si="114"/>
        <v>184</v>
      </c>
      <c r="B585" s="272" t="s">
        <v>566</v>
      </c>
      <c r="C585" s="132">
        <v>1974</v>
      </c>
      <c r="D585" s="79"/>
      <c r="E585" s="79"/>
      <c r="F585" s="143">
        <v>3918.9</v>
      </c>
      <c r="G585" s="143">
        <v>3999.8</v>
      </c>
      <c r="H585" s="1">
        <f t="shared" si="112"/>
        <v>1339410.51</v>
      </c>
      <c r="I585" s="1">
        <f t="shared" si="115"/>
        <v>1215410.51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44">
        <v>124000</v>
      </c>
      <c r="P585" s="1">
        <v>0</v>
      </c>
      <c r="Q585" s="1">
        <v>0</v>
      </c>
      <c r="R585" s="1">
        <v>0</v>
      </c>
      <c r="S585" s="13">
        <f t="shared" si="113"/>
        <v>1339410.51</v>
      </c>
      <c r="T585" s="79">
        <v>2021</v>
      </c>
      <c r="U585" s="79">
        <v>2022</v>
      </c>
    </row>
    <row r="586" spans="1:21" ht="15.75">
      <c r="A586" s="79">
        <f t="shared" si="114"/>
        <v>185</v>
      </c>
      <c r="B586" s="272" t="s">
        <v>567</v>
      </c>
      <c r="C586" s="132">
        <v>1976</v>
      </c>
      <c r="D586" s="79"/>
      <c r="E586" s="79"/>
      <c r="F586" s="143">
        <v>3140.9</v>
      </c>
      <c r="G586" s="143">
        <v>2775.3</v>
      </c>
      <c r="H586" s="1">
        <f t="shared" si="112"/>
        <v>1339410.51</v>
      </c>
      <c r="I586" s="1">
        <f t="shared" si="115"/>
        <v>1215410.51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44">
        <v>124000</v>
      </c>
      <c r="P586" s="1">
        <v>0</v>
      </c>
      <c r="Q586" s="1">
        <v>0</v>
      </c>
      <c r="R586" s="1">
        <v>0</v>
      </c>
      <c r="S586" s="13">
        <f t="shared" si="113"/>
        <v>1339410.51</v>
      </c>
      <c r="T586" s="79">
        <v>2021</v>
      </c>
      <c r="U586" s="79">
        <v>2022</v>
      </c>
    </row>
    <row r="587" spans="1:21" ht="15.75">
      <c r="A587" s="290" t="s">
        <v>383</v>
      </c>
      <c r="B587" s="290"/>
      <c r="C587" s="93"/>
      <c r="D587" s="94"/>
      <c r="E587" s="94"/>
      <c r="F587" s="35">
        <f t="shared" ref="F587:S587" si="116">SUM(F574:F586)</f>
        <v>48096.5</v>
      </c>
      <c r="G587" s="35">
        <f t="shared" si="116"/>
        <v>41683.5</v>
      </c>
      <c r="H587" s="27">
        <f t="shared" si="116"/>
        <v>34907273.420000002</v>
      </c>
      <c r="I587" s="27">
        <f t="shared" si="116"/>
        <v>20827462.559999999</v>
      </c>
      <c r="J587" s="15">
        <f t="shared" si="116"/>
        <v>0</v>
      </c>
      <c r="K587" s="15">
        <f t="shared" si="116"/>
        <v>12306352.1</v>
      </c>
      <c r="L587" s="15">
        <f t="shared" si="116"/>
        <v>0</v>
      </c>
      <c r="M587" s="15">
        <f t="shared" si="116"/>
        <v>0</v>
      </c>
      <c r="N587" s="15">
        <f t="shared" si="116"/>
        <v>0</v>
      </c>
      <c r="O587" s="15">
        <f t="shared" si="116"/>
        <v>1773458.76</v>
      </c>
      <c r="P587" s="15">
        <f t="shared" si="116"/>
        <v>0</v>
      </c>
      <c r="Q587" s="15">
        <f t="shared" si="116"/>
        <v>0</v>
      </c>
      <c r="R587" s="15">
        <f t="shared" si="116"/>
        <v>0</v>
      </c>
      <c r="S587" s="27">
        <f t="shared" si="116"/>
        <v>34907273.420000002</v>
      </c>
      <c r="T587" s="16" t="s">
        <v>31</v>
      </c>
      <c r="U587" s="16" t="s">
        <v>31</v>
      </c>
    </row>
    <row r="588" spans="1:21" ht="15.75">
      <c r="A588" s="289" t="s">
        <v>568</v>
      </c>
      <c r="B588" s="289"/>
      <c r="C588" s="289"/>
      <c r="D588" s="289"/>
      <c r="E588" s="289"/>
      <c r="F588" s="289"/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</row>
    <row r="589" spans="1:21" ht="15.75">
      <c r="A589" s="79">
        <f>A586+1</f>
        <v>186</v>
      </c>
      <c r="B589" s="186" t="s">
        <v>569</v>
      </c>
      <c r="C589" s="81">
        <v>1983</v>
      </c>
      <c r="D589" s="79"/>
      <c r="E589" s="79"/>
      <c r="F589" s="90">
        <v>2970.2</v>
      </c>
      <c r="G589" s="90">
        <v>2677.1</v>
      </c>
      <c r="H589" s="1">
        <f>I589+J589+K589+L589+M589+N589+O589</f>
        <v>9501888.8599999994</v>
      </c>
      <c r="I589" s="1">
        <v>0</v>
      </c>
      <c r="J589" s="1">
        <v>0</v>
      </c>
      <c r="K589" s="1">
        <v>0</v>
      </c>
      <c r="L589" s="1">
        <v>0</v>
      </c>
      <c r="M589" s="1">
        <f>ROUND(3435.59*G589*1.015,2)</f>
        <v>9335379.2599999998</v>
      </c>
      <c r="N589" s="1">
        <v>0</v>
      </c>
      <c r="O589" s="1">
        <v>166509.6</v>
      </c>
      <c r="P589" s="1">
        <v>0</v>
      </c>
      <c r="Q589" s="1">
        <v>0</v>
      </c>
      <c r="R589" s="1">
        <v>0</v>
      </c>
      <c r="S589" s="145">
        <f>H589-R589</f>
        <v>9501888.8599999994</v>
      </c>
      <c r="T589" s="79">
        <v>2021</v>
      </c>
      <c r="U589" s="79">
        <v>2021</v>
      </c>
    </row>
    <row r="590" spans="1:21" ht="15.75">
      <c r="A590" s="290" t="s">
        <v>383</v>
      </c>
      <c r="B590" s="290"/>
      <c r="C590" s="83"/>
      <c r="D590" s="116"/>
      <c r="E590" s="116"/>
      <c r="F590" s="14">
        <f t="shared" ref="F590:S590" si="117">F589</f>
        <v>2970.2</v>
      </c>
      <c r="G590" s="14">
        <f t="shared" si="117"/>
        <v>2677.1</v>
      </c>
      <c r="H590" s="15">
        <f t="shared" si="117"/>
        <v>9501888.8599999994</v>
      </c>
      <c r="I590" s="15">
        <f t="shared" si="117"/>
        <v>0</v>
      </c>
      <c r="J590" s="15">
        <f t="shared" si="117"/>
        <v>0</v>
      </c>
      <c r="K590" s="15">
        <f t="shared" si="117"/>
        <v>0</v>
      </c>
      <c r="L590" s="15">
        <f t="shared" si="117"/>
        <v>0</v>
      </c>
      <c r="M590" s="15">
        <f t="shared" si="117"/>
        <v>9335379.2599999998</v>
      </c>
      <c r="N590" s="15">
        <f t="shared" si="117"/>
        <v>0</v>
      </c>
      <c r="O590" s="15">
        <f t="shared" si="117"/>
        <v>166509.6</v>
      </c>
      <c r="P590" s="15">
        <f t="shared" si="117"/>
        <v>0</v>
      </c>
      <c r="Q590" s="15">
        <f t="shared" si="117"/>
        <v>0</v>
      </c>
      <c r="R590" s="15">
        <f t="shared" si="117"/>
        <v>0</v>
      </c>
      <c r="S590" s="15">
        <f t="shared" si="117"/>
        <v>9501888.8599999994</v>
      </c>
      <c r="T590" s="16" t="s">
        <v>31</v>
      </c>
      <c r="U590" s="16" t="s">
        <v>31</v>
      </c>
    </row>
    <row r="591" spans="1:21" ht="15.75">
      <c r="A591" s="289" t="s">
        <v>570</v>
      </c>
      <c r="B591" s="289"/>
      <c r="C591" s="289"/>
      <c r="D591" s="289"/>
      <c r="E591" s="289"/>
      <c r="F591" s="289"/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</row>
    <row r="592" spans="1:21" ht="15.75">
      <c r="A592" s="79">
        <f>A589+1</f>
        <v>187</v>
      </c>
      <c r="B592" s="186" t="s">
        <v>571</v>
      </c>
      <c r="C592" s="95">
        <v>1987</v>
      </c>
      <c r="D592" s="79"/>
      <c r="E592" s="79"/>
      <c r="F592" s="90">
        <v>4516.3</v>
      </c>
      <c r="G592" s="90">
        <v>3855</v>
      </c>
      <c r="H592" s="1">
        <f t="shared" ref="H592:H610" si="118">I592+J592+K592+L592+M592+N592+O592</f>
        <v>6075603.3200000003</v>
      </c>
      <c r="I592" s="1">
        <v>0</v>
      </c>
      <c r="J592" s="1">
        <f>ROUND(2*3037801.66,2)-O592</f>
        <v>5923713.2400000002</v>
      </c>
      <c r="K592" s="1">
        <v>0</v>
      </c>
      <c r="L592" s="1">
        <v>0</v>
      </c>
      <c r="M592" s="1">
        <v>0</v>
      </c>
      <c r="N592" s="1">
        <v>0</v>
      </c>
      <c r="O592" s="1">
        <v>151890.07999999999</v>
      </c>
      <c r="P592" s="1">
        <v>0</v>
      </c>
      <c r="Q592" s="1">
        <v>0</v>
      </c>
      <c r="R592" s="1">
        <v>0</v>
      </c>
      <c r="S592" s="13">
        <f t="shared" ref="S592:S610" si="119">H592</f>
        <v>6075603.3200000003</v>
      </c>
      <c r="T592" s="79">
        <v>2021</v>
      </c>
      <c r="U592" s="79">
        <v>2021</v>
      </c>
    </row>
    <row r="593" spans="1:21" ht="15.75">
      <c r="A593" s="79">
        <f t="shared" ref="A593:A610" si="120">A592+1</f>
        <v>188</v>
      </c>
      <c r="B593" s="186" t="s">
        <v>572</v>
      </c>
      <c r="C593" s="81">
        <v>1986</v>
      </c>
      <c r="D593" s="79"/>
      <c r="E593" s="79"/>
      <c r="F593" s="92">
        <v>6098.8</v>
      </c>
      <c r="G593" s="33">
        <v>5275.7</v>
      </c>
      <c r="H593" s="1">
        <f t="shared" si="118"/>
        <v>6075603.3200000003</v>
      </c>
      <c r="I593" s="1">
        <v>0</v>
      </c>
      <c r="J593" s="1">
        <f>ROUND(2*3037801.66,2)-O593</f>
        <v>5923713.2400000002</v>
      </c>
      <c r="K593" s="1">
        <v>0</v>
      </c>
      <c r="L593" s="1">
        <v>0</v>
      </c>
      <c r="M593" s="1">
        <v>0</v>
      </c>
      <c r="N593" s="1">
        <v>0</v>
      </c>
      <c r="O593" s="1">
        <v>151890.07999999999</v>
      </c>
      <c r="P593" s="1">
        <v>0</v>
      </c>
      <c r="Q593" s="1">
        <v>0</v>
      </c>
      <c r="R593" s="1">
        <v>0</v>
      </c>
      <c r="S593" s="13">
        <f t="shared" si="119"/>
        <v>6075603.3200000003</v>
      </c>
      <c r="T593" s="79">
        <v>2021</v>
      </c>
      <c r="U593" s="79">
        <v>2021</v>
      </c>
    </row>
    <row r="594" spans="1:21" ht="15.75">
      <c r="A594" s="79">
        <f t="shared" si="120"/>
        <v>189</v>
      </c>
      <c r="B594" s="186" t="s">
        <v>573</v>
      </c>
      <c r="C594" s="81">
        <v>1983</v>
      </c>
      <c r="D594" s="79"/>
      <c r="E594" s="79"/>
      <c r="F594" s="92">
        <v>2835</v>
      </c>
      <c r="G594" s="33">
        <v>2372.3000000000002</v>
      </c>
      <c r="H594" s="1">
        <f t="shared" si="118"/>
        <v>3037801.66</v>
      </c>
      <c r="I594" s="1">
        <v>0</v>
      </c>
      <c r="J594" s="1">
        <f>3037801.66*1-O594</f>
        <v>2961856.62</v>
      </c>
      <c r="K594" s="1">
        <v>0</v>
      </c>
      <c r="L594" s="1">
        <v>0</v>
      </c>
      <c r="M594" s="1">
        <v>0</v>
      </c>
      <c r="N594" s="1">
        <v>0</v>
      </c>
      <c r="O594" s="1">
        <v>75945.039999999994</v>
      </c>
      <c r="P594" s="1">
        <v>0</v>
      </c>
      <c r="Q594" s="1">
        <v>0</v>
      </c>
      <c r="R594" s="1">
        <v>0</v>
      </c>
      <c r="S594" s="13">
        <f t="shared" si="119"/>
        <v>3037801.66</v>
      </c>
      <c r="T594" s="79">
        <v>2021</v>
      </c>
      <c r="U594" s="79">
        <v>2021</v>
      </c>
    </row>
    <row r="595" spans="1:21" ht="15.75">
      <c r="A595" s="79">
        <f t="shared" si="120"/>
        <v>190</v>
      </c>
      <c r="B595" s="186" t="s">
        <v>574</v>
      </c>
      <c r="C595" s="81">
        <v>1984</v>
      </c>
      <c r="D595" s="79"/>
      <c r="E595" s="79"/>
      <c r="F595" s="33">
        <v>2816.7</v>
      </c>
      <c r="G595" s="33">
        <v>2382.6999999999998</v>
      </c>
      <c r="H595" s="1">
        <f t="shared" si="118"/>
        <v>3037801.66</v>
      </c>
      <c r="I595" s="1">
        <v>0</v>
      </c>
      <c r="J595" s="1">
        <f>3037801.66*1-O595</f>
        <v>2961856.62</v>
      </c>
      <c r="K595" s="1">
        <v>0</v>
      </c>
      <c r="L595" s="1">
        <v>0</v>
      </c>
      <c r="M595" s="1">
        <v>0</v>
      </c>
      <c r="N595" s="1">
        <v>0</v>
      </c>
      <c r="O595" s="1">
        <v>75945.039999999994</v>
      </c>
      <c r="P595" s="1">
        <v>0</v>
      </c>
      <c r="Q595" s="1">
        <v>0</v>
      </c>
      <c r="R595" s="1">
        <v>0</v>
      </c>
      <c r="S595" s="13">
        <f t="shared" si="119"/>
        <v>3037801.66</v>
      </c>
      <c r="T595" s="79">
        <v>2021</v>
      </c>
      <c r="U595" s="79">
        <v>2021</v>
      </c>
    </row>
    <row r="596" spans="1:21" ht="15.75">
      <c r="A596" s="79">
        <f t="shared" si="120"/>
        <v>191</v>
      </c>
      <c r="B596" s="186" t="s">
        <v>575</v>
      </c>
      <c r="C596" s="81">
        <v>1986</v>
      </c>
      <c r="D596" s="79"/>
      <c r="E596" s="79"/>
      <c r="F596" s="92">
        <v>3115.4</v>
      </c>
      <c r="G596" s="33">
        <f>2382.1+273.9</f>
        <v>2656</v>
      </c>
      <c r="H596" s="1">
        <f t="shared" si="118"/>
        <v>3037801.66</v>
      </c>
      <c r="I596" s="1">
        <v>0</v>
      </c>
      <c r="J596" s="1">
        <f>3037801.66*1-O596</f>
        <v>2961856.62</v>
      </c>
      <c r="K596" s="1">
        <v>0</v>
      </c>
      <c r="L596" s="1">
        <v>0</v>
      </c>
      <c r="M596" s="1">
        <v>0</v>
      </c>
      <c r="N596" s="1">
        <v>0</v>
      </c>
      <c r="O596" s="1">
        <v>75945.039999999994</v>
      </c>
      <c r="P596" s="1">
        <v>0</v>
      </c>
      <c r="Q596" s="1">
        <v>0</v>
      </c>
      <c r="R596" s="1">
        <v>0</v>
      </c>
      <c r="S596" s="13">
        <f t="shared" si="119"/>
        <v>3037801.66</v>
      </c>
      <c r="T596" s="79">
        <v>2021</v>
      </c>
      <c r="U596" s="79">
        <v>2021</v>
      </c>
    </row>
    <row r="597" spans="1:21" ht="15.75">
      <c r="A597" s="79">
        <f t="shared" si="120"/>
        <v>192</v>
      </c>
      <c r="B597" s="186" t="s">
        <v>576</v>
      </c>
      <c r="C597" s="81">
        <v>1985</v>
      </c>
      <c r="D597" s="79"/>
      <c r="E597" s="79"/>
      <c r="F597" s="92">
        <v>3929.7</v>
      </c>
      <c r="G597" s="33">
        <v>3363.9</v>
      </c>
      <c r="H597" s="1">
        <f t="shared" si="118"/>
        <v>6075603.3200000003</v>
      </c>
      <c r="I597" s="1">
        <v>0</v>
      </c>
      <c r="J597" s="1">
        <f>ROUND(2*3037801.66,2)-O597</f>
        <v>5923713.2400000002</v>
      </c>
      <c r="K597" s="1">
        <v>0</v>
      </c>
      <c r="L597" s="1">
        <v>0</v>
      </c>
      <c r="M597" s="1">
        <v>0</v>
      </c>
      <c r="N597" s="1">
        <v>0</v>
      </c>
      <c r="O597" s="1">
        <v>151890.07999999999</v>
      </c>
      <c r="P597" s="1">
        <v>0</v>
      </c>
      <c r="Q597" s="1">
        <v>0</v>
      </c>
      <c r="R597" s="1">
        <v>0</v>
      </c>
      <c r="S597" s="13">
        <f t="shared" si="119"/>
        <v>6075603.3200000003</v>
      </c>
      <c r="T597" s="79">
        <v>2021</v>
      </c>
      <c r="U597" s="79">
        <v>2021</v>
      </c>
    </row>
    <row r="598" spans="1:21" ht="15.75">
      <c r="A598" s="79">
        <f t="shared" si="120"/>
        <v>193</v>
      </c>
      <c r="B598" s="186" t="s">
        <v>577</v>
      </c>
      <c r="C598" s="81">
        <v>1956</v>
      </c>
      <c r="D598" s="79"/>
      <c r="E598" s="79"/>
      <c r="F598" s="33">
        <v>6479.8</v>
      </c>
      <c r="G598" s="33">
        <f>4813.1+965.3</f>
        <v>5778.4</v>
      </c>
      <c r="H598" s="1">
        <f t="shared" si="118"/>
        <v>16301375.279999999</v>
      </c>
      <c r="I598" s="1">
        <v>0</v>
      </c>
      <c r="J598" s="1">
        <v>0</v>
      </c>
      <c r="K598" s="1">
        <f>ROUND(2757.62*G598*1.015,2)</f>
        <v>16173650.880000001</v>
      </c>
      <c r="L598" s="1">
        <v>0</v>
      </c>
      <c r="M598" s="1">
        <v>0</v>
      </c>
      <c r="N598" s="1">
        <v>0</v>
      </c>
      <c r="O598" s="1">
        <v>127724.4</v>
      </c>
      <c r="P598" s="1">
        <v>0</v>
      </c>
      <c r="Q598" s="1">
        <v>0</v>
      </c>
      <c r="R598" s="1">
        <v>0</v>
      </c>
      <c r="S598" s="13">
        <f t="shared" si="119"/>
        <v>16301375.279999999</v>
      </c>
      <c r="T598" s="79">
        <v>2020</v>
      </c>
      <c r="U598" s="79">
        <v>2021</v>
      </c>
    </row>
    <row r="599" spans="1:21" ht="15.75">
      <c r="A599" s="79">
        <f t="shared" si="120"/>
        <v>194</v>
      </c>
      <c r="B599" s="186" t="s">
        <v>578</v>
      </c>
      <c r="C599" s="81">
        <v>1988</v>
      </c>
      <c r="D599" s="79"/>
      <c r="E599" s="79"/>
      <c r="F599" s="33">
        <v>8946.7000000000007</v>
      </c>
      <c r="G599" s="33">
        <f>7599.6+12.4</f>
        <v>7612</v>
      </c>
      <c r="H599" s="1">
        <f t="shared" si="118"/>
        <v>4393080.68</v>
      </c>
      <c r="I599" s="1">
        <f>ROUND((304.67*G599+2*947117.94)*1.015,2)</f>
        <v>4276584.68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116496</v>
      </c>
      <c r="P599" s="1">
        <v>0</v>
      </c>
      <c r="Q599" s="1">
        <v>0</v>
      </c>
      <c r="R599" s="1">
        <v>0</v>
      </c>
      <c r="S599" s="13">
        <f t="shared" si="119"/>
        <v>4393080.68</v>
      </c>
      <c r="T599" s="79">
        <v>2020</v>
      </c>
      <c r="U599" s="79">
        <v>2021</v>
      </c>
    </row>
    <row r="600" spans="1:21" ht="15.75">
      <c r="A600" s="79">
        <f t="shared" si="120"/>
        <v>195</v>
      </c>
      <c r="B600" s="186" t="s">
        <v>579</v>
      </c>
      <c r="C600" s="81">
        <v>1984</v>
      </c>
      <c r="D600" s="79"/>
      <c r="E600" s="79"/>
      <c r="F600" s="33">
        <v>3876.7</v>
      </c>
      <c r="G600" s="33">
        <v>3322.1</v>
      </c>
      <c r="H600" s="1">
        <f t="shared" si="118"/>
        <v>3050085.79</v>
      </c>
      <c r="I600" s="1">
        <f>ROUND((304.67*G600+2*947117.94)*1.015,2)</f>
        <v>2949975.79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100110</v>
      </c>
      <c r="P600" s="1">
        <v>0</v>
      </c>
      <c r="Q600" s="1">
        <v>0</v>
      </c>
      <c r="R600" s="1">
        <v>0</v>
      </c>
      <c r="S600" s="13">
        <f t="shared" si="119"/>
        <v>3050085.79</v>
      </c>
      <c r="T600" s="79">
        <v>2020</v>
      </c>
      <c r="U600" s="79">
        <v>2021</v>
      </c>
    </row>
    <row r="601" spans="1:21" ht="15.75">
      <c r="A601" s="79">
        <f t="shared" si="120"/>
        <v>196</v>
      </c>
      <c r="B601" s="186" t="s">
        <v>580</v>
      </c>
      <c r="C601" s="81">
        <v>1991</v>
      </c>
      <c r="D601" s="79"/>
      <c r="E601" s="79"/>
      <c r="F601" s="33">
        <v>9152.7999999999993</v>
      </c>
      <c r="G601" s="33">
        <v>7940</v>
      </c>
      <c r="H601" s="1">
        <f t="shared" si="118"/>
        <v>13609393.6</v>
      </c>
      <c r="I601" s="1">
        <f>ROUND((304.67*G601+2*947117.94)*1.015,2)</f>
        <v>4378015.42</v>
      </c>
      <c r="J601" s="1">
        <f>3*2918085.34*1.015</f>
        <v>8885569.8599999994</v>
      </c>
      <c r="K601" s="1">
        <v>0</v>
      </c>
      <c r="L601" s="1">
        <v>0</v>
      </c>
      <c r="M601" s="1">
        <v>0</v>
      </c>
      <c r="N601" s="1">
        <v>0</v>
      </c>
      <c r="O601" s="1">
        <f>117973.2+(3*75945.04)</f>
        <v>345808.32</v>
      </c>
      <c r="P601" s="1">
        <v>0</v>
      </c>
      <c r="Q601" s="1">
        <v>0</v>
      </c>
      <c r="R601" s="1">
        <v>0</v>
      </c>
      <c r="S601" s="13">
        <f t="shared" si="119"/>
        <v>13609393.6</v>
      </c>
      <c r="T601" s="79">
        <v>2020</v>
      </c>
      <c r="U601" s="79">
        <v>2021</v>
      </c>
    </row>
    <row r="602" spans="1:21" ht="15.75">
      <c r="A602" s="79">
        <f t="shared" si="120"/>
        <v>197</v>
      </c>
      <c r="B602" s="186" t="s">
        <v>581</v>
      </c>
      <c r="C602" s="81">
        <v>1990</v>
      </c>
      <c r="D602" s="79"/>
      <c r="E602" s="79"/>
      <c r="F602" s="33">
        <v>9029.5</v>
      </c>
      <c r="G602" s="33">
        <v>7858.4</v>
      </c>
      <c r="H602" s="1">
        <f t="shared" si="118"/>
        <v>4470182.2300000004</v>
      </c>
      <c r="I602" s="1">
        <f>ROUND((304.67*G602+2*947117.94)*1.015,2)</f>
        <v>4352781.43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117400.8</v>
      </c>
      <c r="P602" s="1">
        <v>0</v>
      </c>
      <c r="Q602" s="1">
        <v>0</v>
      </c>
      <c r="R602" s="1">
        <v>0</v>
      </c>
      <c r="S602" s="13">
        <f t="shared" si="119"/>
        <v>4470182.2300000004</v>
      </c>
      <c r="T602" s="79">
        <v>2020</v>
      </c>
      <c r="U602" s="79">
        <v>2021</v>
      </c>
    </row>
    <row r="603" spans="1:21" ht="15.75">
      <c r="A603" s="79">
        <f t="shared" si="120"/>
        <v>198</v>
      </c>
      <c r="B603" s="186" t="s">
        <v>582</v>
      </c>
      <c r="C603" s="81">
        <v>1989</v>
      </c>
      <c r="D603" s="79"/>
      <c r="E603" s="79"/>
      <c r="F603" s="33">
        <v>4486.8</v>
      </c>
      <c r="G603" s="33">
        <v>3837.1</v>
      </c>
      <c r="H603" s="1">
        <f t="shared" si="118"/>
        <v>2249512.5</v>
      </c>
      <c r="I603" s="1">
        <f>ROUND((304.67*G603+947117.94)*1.015,2)</f>
        <v>2147909.7000000002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101602.8</v>
      </c>
      <c r="P603" s="1">
        <v>0</v>
      </c>
      <c r="Q603" s="1">
        <v>0</v>
      </c>
      <c r="R603" s="1">
        <v>0</v>
      </c>
      <c r="S603" s="13">
        <f t="shared" si="119"/>
        <v>2249512.5</v>
      </c>
      <c r="T603" s="79">
        <v>2020</v>
      </c>
      <c r="U603" s="79">
        <v>2021</v>
      </c>
    </row>
    <row r="604" spans="1:21" ht="15.75">
      <c r="A604" s="79">
        <f t="shared" si="120"/>
        <v>199</v>
      </c>
      <c r="B604" s="186" t="s">
        <v>583</v>
      </c>
      <c r="C604" s="81">
        <v>1980</v>
      </c>
      <c r="D604" s="79"/>
      <c r="E604" s="79"/>
      <c r="F604" s="33">
        <v>4035.4</v>
      </c>
      <c r="G604" s="33">
        <f>2210.7+1442.1</f>
        <v>3652.8</v>
      </c>
      <c r="H604" s="1">
        <f t="shared" si="118"/>
        <v>2391853.2400000002</v>
      </c>
      <c r="I604" s="1">
        <f>ROUND((357.92*G604+947117.94)*1.015,2)</f>
        <v>2288346.04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103507.2</v>
      </c>
      <c r="P604" s="1">
        <v>0</v>
      </c>
      <c r="Q604" s="1">
        <v>0</v>
      </c>
      <c r="R604" s="1">
        <v>0</v>
      </c>
      <c r="S604" s="13">
        <f t="shared" si="119"/>
        <v>2391853.2400000002</v>
      </c>
      <c r="T604" s="79">
        <v>2020</v>
      </c>
      <c r="U604" s="79">
        <v>2021</v>
      </c>
    </row>
    <row r="605" spans="1:21" ht="15.75">
      <c r="A605" s="79">
        <f t="shared" si="120"/>
        <v>200</v>
      </c>
      <c r="B605" s="186" t="s">
        <v>584</v>
      </c>
      <c r="C605" s="81">
        <v>1982</v>
      </c>
      <c r="D605" s="79"/>
      <c r="E605" s="79"/>
      <c r="F605" s="33">
        <v>8463.5</v>
      </c>
      <c r="G605" s="33">
        <v>7335.5</v>
      </c>
      <c r="H605" s="1">
        <f t="shared" si="118"/>
        <v>19134490.710000001</v>
      </c>
      <c r="I605" s="1">
        <f>(G605*(578.78+635.88)+(4*1197448.78))*1.015</f>
        <v>13905432.550000001</v>
      </c>
      <c r="J605" s="1">
        <v>0</v>
      </c>
      <c r="K605" s="1">
        <v>0</v>
      </c>
      <c r="L605" s="1">
        <f>G605*635.48*1.015</f>
        <v>4731486.99</v>
      </c>
      <c r="M605" s="1">
        <v>0</v>
      </c>
      <c r="N605" s="1">
        <v>0</v>
      </c>
      <c r="O605" s="1">
        <v>497571.17</v>
      </c>
      <c r="P605" s="1">
        <v>0</v>
      </c>
      <c r="Q605" s="1">
        <v>0</v>
      </c>
      <c r="R605" s="1">
        <v>0</v>
      </c>
      <c r="S605" s="13">
        <f t="shared" si="119"/>
        <v>19134490.710000001</v>
      </c>
      <c r="T605" s="79">
        <v>2020</v>
      </c>
      <c r="U605" s="79">
        <v>2021</v>
      </c>
    </row>
    <row r="606" spans="1:21" ht="15.75">
      <c r="A606" s="79">
        <f t="shared" si="120"/>
        <v>201</v>
      </c>
      <c r="B606" s="186" t="s">
        <v>585</v>
      </c>
      <c r="C606" s="81">
        <v>1984</v>
      </c>
      <c r="D606" s="79"/>
      <c r="E606" s="79"/>
      <c r="F606" s="33">
        <v>4357.2</v>
      </c>
      <c r="G606" s="33">
        <v>3953.2</v>
      </c>
      <c r="H606" s="1">
        <f t="shared" si="118"/>
        <v>11288812.9</v>
      </c>
      <c r="I606" s="1">
        <v>0</v>
      </c>
      <c r="J606" s="1">
        <v>0</v>
      </c>
      <c r="K606" s="1">
        <f>G606*2760.17*1.015</f>
        <v>11075176.6</v>
      </c>
      <c r="L606" s="1">
        <v>0</v>
      </c>
      <c r="M606" s="1">
        <v>0</v>
      </c>
      <c r="N606" s="1">
        <v>0</v>
      </c>
      <c r="O606" s="1">
        <v>213636.3</v>
      </c>
      <c r="P606" s="1">
        <v>0</v>
      </c>
      <c r="Q606" s="1">
        <v>0</v>
      </c>
      <c r="R606" s="1">
        <v>0</v>
      </c>
      <c r="S606" s="13">
        <f t="shared" si="119"/>
        <v>11288812.9</v>
      </c>
      <c r="T606" s="79">
        <v>2020</v>
      </c>
      <c r="U606" s="79">
        <v>2021</v>
      </c>
    </row>
    <row r="607" spans="1:21" ht="15.75">
      <c r="A607" s="79">
        <f t="shared" si="120"/>
        <v>202</v>
      </c>
      <c r="B607" s="186" t="s">
        <v>586</v>
      </c>
      <c r="C607" s="81">
        <v>1983</v>
      </c>
      <c r="D607" s="79"/>
      <c r="E607" s="79"/>
      <c r="F607" s="33">
        <v>4082.6</v>
      </c>
      <c r="G607" s="33">
        <v>3702.7</v>
      </c>
      <c r="H607" s="1">
        <f t="shared" si="118"/>
        <v>2257657.7400000002</v>
      </c>
      <c r="I607" s="1">
        <f>((G607*293.24)+947117.94)*1.015</f>
        <v>2063391.15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194266.59</v>
      </c>
      <c r="P607" s="1">
        <v>0</v>
      </c>
      <c r="Q607" s="1">
        <v>0</v>
      </c>
      <c r="R607" s="1">
        <v>0</v>
      </c>
      <c r="S607" s="13">
        <f t="shared" si="119"/>
        <v>2257657.7400000002</v>
      </c>
      <c r="T607" s="79">
        <v>2020</v>
      </c>
      <c r="U607" s="79">
        <v>2021</v>
      </c>
    </row>
    <row r="608" spans="1:21" ht="15.75">
      <c r="A608" s="79">
        <f t="shared" si="120"/>
        <v>203</v>
      </c>
      <c r="B608" s="186" t="s">
        <v>587</v>
      </c>
      <c r="C608" s="81">
        <v>1965</v>
      </c>
      <c r="D608" s="79"/>
      <c r="E608" s="79"/>
      <c r="F608" s="33">
        <v>3124.7</v>
      </c>
      <c r="G608" s="33">
        <v>2735</v>
      </c>
      <c r="H608" s="1">
        <f t="shared" si="118"/>
        <v>6676763.9100000001</v>
      </c>
      <c r="I608" s="1">
        <v>0</v>
      </c>
      <c r="J608" s="1">
        <v>0</v>
      </c>
      <c r="K608" s="1">
        <v>0</v>
      </c>
      <c r="L608" s="1">
        <v>0</v>
      </c>
      <c r="M608" s="1">
        <f>G608*2295.78*1.015</f>
        <v>6373142.6699999999</v>
      </c>
      <c r="N608" s="1">
        <v>0</v>
      </c>
      <c r="O608" s="1">
        <v>303621.24</v>
      </c>
      <c r="P608" s="1">
        <v>0</v>
      </c>
      <c r="Q608" s="1">
        <v>0</v>
      </c>
      <c r="R608" s="1">
        <v>0</v>
      </c>
      <c r="S608" s="13">
        <f t="shared" si="119"/>
        <v>6676763.9100000001</v>
      </c>
      <c r="T608" s="79">
        <v>2020</v>
      </c>
      <c r="U608" s="79">
        <v>2021</v>
      </c>
    </row>
    <row r="609" spans="1:21" ht="15.75">
      <c r="A609" s="79">
        <f t="shared" si="120"/>
        <v>204</v>
      </c>
      <c r="B609" s="186" t="s">
        <v>588</v>
      </c>
      <c r="C609" s="81">
        <v>1971</v>
      </c>
      <c r="D609" s="79"/>
      <c r="E609" s="79"/>
      <c r="F609" s="33">
        <v>1727.4</v>
      </c>
      <c r="G609" s="33">
        <v>1571.8</v>
      </c>
      <c r="H609" s="1">
        <f t="shared" si="118"/>
        <v>4510477.2300000004</v>
      </c>
      <c r="I609" s="1">
        <v>0</v>
      </c>
      <c r="J609" s="1">
        <v>0</v>
      </c>
      <c r="K609" s="1">
        <v>0</v>
      </c>
      <c r="L609" s="1">
        <v>0</v>
      </c>
      <c r="M609" s="1">
        <f>2698.79*G609*1.015</f>
        <v>4305587.49</v>
      </c>
      <c r="N609" s="1">
        <v>0</v>
      </c>
      <c r="O609" s="1">
        <v>204889.74</v>
      </c>
      <c r="P609" s="1">
        <v>0</v>
      </c>
      <c r="Q609" s="1">
        <v>0</v>
      </c>
      <c r="R609" s="1">
        <v>0</v>
      </c>
      <c r="S609" s="13">
        <f t="shared" si="119"/>
        <v>4510477.2300000004</v>
      </c>
      <c r="T609" s="79">
        <v>2020</v>
      </c>
      <c r="U609" s="79">
        <v>2021</v>
      </c>
    </row>
    <row r="610" spans="1:21" ht="15.75">
      <c r="A610" s="79">
        <f t="shared" si="120"/>
        <v>205</v>
      </c>
      <c r="B610" s="186" t="s">
        <v>589</v>
      </c>
      <c r="C610" s="81">
        <v>1955</v>
      </c>
      <c r="D610" s="79"/>
      <c r="E610" s="79"/>
      <c r="F610" s="33">
        <v>695.4</v>
      </c>
      <c r="G610" s="33">
        <v>644.5</v>
      </c>
      <c r="H610" s="1">
        <f t="shared" si="118"/>
        <v>2511884.64</v>
      </c>
      <c r="I610" s="1">
        <v>0</v>
      </c>
      <c r="J610" s="1">
        <v>0</v>
      </c>
      <c r="K610" s="1">
        <v>0</v>
      </c>
      <c r="L610" s="1">
        <v>0</v>
      </c>
      <c r="M610" s="1">
        <f>3636.52*G610*1.015</f>
        <v>2378893.2000000002</v>
      </c>
      <c r="N610" s="1">
        <v>0</v>
      </c>
      <c r="O610" s="1">
        <v>132991.44</v>
      </c>
      <c r="P610" s="1">
        <v>0</v>
      </c>
      <c r="Q610" s="1">
        <v>0</v>
      </c>
      <c r="R610" s="1">
        <v>0</v>
      </c>
      <c r="S610" s="13">
        <f t="shared" si="119"/>
        <v>2511884.64</v>
      </c>
      <c r="T610" s="79">
        <v>2020</v>
      </c>
      <c r="U610" s="79">
        <v>2021</v>
      </c>
    </row>
    <row r="611" spans="1:21" ht="15.75">
      <c r="A611" s="290" t="s">
        <v>383</v>
      </c>
      <c r="B611" s="290"/>
      <c r="C611" s="83"/>
      <c r="D611" s="116"/>
      <c r="E611" s="116"/>
      <c r="F611" s="14">
        <f t="shared" ref="F611:P611" si="121">SUM(F592:F610)</f>
        <v>91770.4</v>
      </c>
      <c r="G611" s="14">
        <f t="shared" si="121"/>
        <v>79849.100000000006</v>
      </c>
      <c r="H611" s="27">
        <f t="shared" si="121"/>
        <v>120185785.39</v>
      </c>
      <c r="I611" s="27">
        <f t="shared" si="121"/>
        <v>36362436.759999998</v>
      </c>
      <c r="J611" s="27">
        <f t="shared" si="121"/>
        <v>35542279.439999998</v>
      </c>
      <c r="K611" s="27">
        <f t="shared" si="121"/>
        <v>27248827.48</v>
      </c>
      <c r="L611" s="27">
        <f t="shared" si="121"/>
        <v>4731486.99</v>
      </c>
      <c r="M611" s="27">
        <f t="shared" si="121"/>
        <v>13057623.359999999</v>
      </c>
      <c r="N611" s="15">
        <f t="shared" si="121"/>
        <v>0</v>
      </c>
      <c r="O611" s="15">
        <f t="shared" si="121"/>
        <v>3243131.36</v>
      </c>
      <c r="P611" s="15">
        <f t="shared" si="121"/>
        <v>0</v>
      </c>
      <c r="Q611" s="15">
        <f>SUM(Q592:Q604)</f>
        <v>0</v>
      </c>
      <c r="R611" s="15">
        <f>SUM(R592:R604)</f>
        <v>0</v>
      </c>
      <c r="S611" s="27">
        <f>SUM(S592:S610)</f>
        <v>120185785.39</v>
      </c>
      <c r="T611" s="16" t="s">
        <v>31</v>
      </c>
      <c r="U611" s="16" t="s">
        <v>31</v>
      </c>
    </row>
    <row r="612" spans="1:21" ht="15.75">
      <c r="A612" s="289" t="s">
        <v>755</v>
      </c>
      <c r="B612" s="289"/>
      <c r="C612" s="289"/>
      <c r="D612" s="289"/>
      <c r="E612" s="289"/>
      <c r="F612" s="289"/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</row>
    <row r="613" spans="1:21" ht="15.75">
      <c r="A613" s="79">
        <f>A610+1</f>
        <v>206</v>
      </c>
      <c r="B613" s="238" t="s">
        <v>301</v>
      </c>
      <c r="C613" s="146">
        <v>1963</v>
      </c>
      <c r="D613" s="113"/>
      <c r="E613" s="113"/>
      <c r="F613" s="147">
        <v>2699.6</v>
      </c>
      <c r="G613" s="148">
        <v>2002.5</v>
      </c>
      <c r="H613" s="1">
        <f>I613+J613+K613+L613+M613+N613+O613</f>
        <v>12482946.02</v>
      </c>
      <c r="I613" s="1">
        <v>0</v>
      </c>
      <c r="J613" s="1">
        <v>0</v>
      </c>
      <c r="K613" s="1">
        <v>0</v>
      </c>
      <c r="L613" s="1">
        <v>0</v>
      </c>
      <c r="M613" s="1">
        <f>ROUND(5198.01*G613*1.015,2)</f>
        <v>10565150.25</v>
      </c>
      <c r="N613" s="1">
        <f>ROUND(812.52*G613*1.015,2)</f>
        <v>1651477.37</v>
      </c>
      <c r="O613" s="1">
        <v>266318.40000000002</v>
      </c>
      <c r="P613" s="1">
        <v>0</v>
      </c>
      <c r="Q613" s="1">
        <v>0</v>
      </c>
      <c r="R613" s="1">
        <v>0</v>
      </c>
      <c r="S613" s="13">
        <f>H613</f>
        <v>12482946.02</v>
      </c>
      <c r="T613" s="79">
        <v>2021</v>
      </c>
      <c r="U613" s="79">
        <v>2021</v>
      </c>
    </row>
    <row r="614" spans="1:21" ht="15.75">
      <c r="A614" s="79">
        <f>A613+1</f>
        <v>207</v>
      </c>
      <c r="B614" s="242" t="s">
        <v>590</v>
      </c>
      <c r="C614" s="146">
        <v>1958</v>
      </c>
      <c r="D614" s="113"/>
      <c r="E614" s="113"/>
      <c r="F614" s="47">
        <v>1535.2</v>
      </c>
      <c r="G614" s="47">
        <v>1365.2</v>
      </c>
      <c r="H614" s="1">
        <f>I614+J614+K614+L614+M614+N614+O614</f>
        <v>14365499.689999999</v>
      </c>
      <c r="I614" s="1">
        <v>0</v>
      </c>
      <c r="J614" s="1">
        <v>0</v>
      </c>
      <c r="K614" s="1">
        <f>ROUND(4075.29*G614*1.015,2)</f>
        <v>5647039.7000000002</v>
      </c>
      <c r="L614" s="1">
        <v>0</v>
      </c>
      <c r="M614" s="1">
        <f>ROUND(5198.01*G614*1.015,2)</f>
        <v>7202768.0999999996</v>
      </c>
      <c r="N614" s="1">
        <f>ROUND(812.52*G614*1.015,2)</f>
        <v>1125891.0900000001</v>
      </c>
      <c r="O614" s="1">
        <v>389800.8</v>
      </c>
      <c r="P614" s="1">
        <v>0</v>
      </c>
      <c r="Q614" s="1">
        <v>0</v>
      </c>
      <c r="R614" s="1">
        <v>0</v>
      </c>
      <c r="S614" s="13">
        <f>H614</f>
        <v>14365499.689999999</v>
      </c>
      <c r="T614" s="79">
        <v>2021</v>
      </c>
      <c r="U614" s="79">
        <v>2021</v>
      </c>
    </row>
    <row r="615" spans="1:21" ht="15.75">
      <c r="A615" s="290" t="s">
        <v>383</v>
      </c>
      <c r="B615" s="290"/>
      <c r="C615" s="83"/>
      <c r="D615" s="116"/>
      <c r="E615" s="116"/>
      <c r="F615" s="14">
        <f t="shared" ref="F615:S615" si="122">SUM(F613:F614)</f>
        <v>4234.8</v>
      </c>
      <c r="G615" s="15">
        <f t="shared" si="122"/>
        <v>3367.7</v>
      </c>
      <c r="H615" s="27">
        <f t="shared" si="122"/>
        <v>26848445.710000001</v>
      </c>
      <c r="I615" s="15">
        <f t="shared" si="122"/>
        <v>0</v>
      </c>
      <c r="J615" s="15">
        <f t="shared" si="122"/>
        <v>0</v>
      </c>
      <c r="K615" s="15">
        <f t="shared" si="122"/>
        <v>5647039.7000000002</v>
      </c>
      <c r="L615" s="15">
        <f t="shared" si="122"/>
        <v>0</v>
      </c>
      <c r="M615" s="15">
        <f t="shared" si="122"/>
        <v>17767918.350000001</v>
      </c>
      <c r="N615" s="15">
        <f t="shared" si="122"/>
        <v>2777368.46</v>
      </c>
      <c r="O615" s="15">
        <f t="shared" si="122"/>
        <v>656119.19999999995</v>
      </c>
      <c r="P615" s="15">
        <f t="shared" si="122"/>
        <v>0</v>
      </c>
      <c r="Q615" s="15">
        <f t="shared" si="122"/>
        <v>0</v>
      </c>
      <c r="R615" s="15">
        <f t="shared" si="122"/>
        <v>0</v>
      </c>
      <c r="S615" s="27">
        <f t="shared" si="122"/>
        <v>26848445.710000001</v>
      </c>
      <c r="T615" s="16" t="s">
        <v>31</v>
      </c>
      <c r="U615" s="16" t="s">
        <v>31</v>
      </c>
    </row>
    <row r="616" spans="1:21" ht="15.75">
      <c r="A616" s="289" t="s">
        <v>1057</v>
      </c>
      <c r="B616" s="289"/>
      <c r="C616" s="289"/>
      <c r="D616" s="289"/>
      <c r="E616" s="289"/>
      <c r="F616" s="289"/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</row>
    <row r="617" spans="1:21" ht="15.75">
      <c r="A617" s="289" t="s">
        <v>591</v>
      </c>
      <c r="B617" s="289"/>
      <c r="C617" s="289"/>
      <c r="D617" s="289"/>
      <c r="E617" s="289"/>
      <c r="F617" s="289"/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</row>
    <row r="618" spans="1:21" ht="15.75">
      <c r="A618" s="79">
        <f>A614+1</f>
        <v>208</v>
      </c>
      <c r="B618" s="186" t="s">
        <v>592</v>
      </c>
      <c r="C618" s="81">
        <v>1974</v>
      </c>
      <c r="D618" s="79"/>
      <c r="E618" s="79"/>
      <c r="F618" s="123">
        <v>794.2</v>
      </c>
      <c r="G618" s="123">
        <v>735.3</v>
      </c>
      <c r="H618" s="1">
        <f>I618+J618+K618+L618+M618+N618+O618</f>
        <v>5472654.9800000004</v>
      </c>
      <c r="I618" s="1">
        <v>0</v>
      </c>
      <c r="J618" s="1">
        <v>0</v>
      </c>
      <c r="K618" s="1">
        <f>ROUND(G618*7266.66*1.015,2)</f>
        <v>5423322.7199999997</v>
      </c>
      <c r="L618" s="1">
        <v>0</v>
      </c>
      <c r="M618" s="1">
        <v>0</v>
      </c>
      <c r="N618" s="1">
        <v>0</v>
      </c>
      <c r="O618" s="108">
        <v>49332.26</v>
      </c>
      <c r="P618" s="1">
        <v>0</v>
      </c>
      <c r="Q618" s="1">
        <v>0</v>
      </c>
      <c r="R618" s="1">
        <v>0</v>
      </c>
      <c r="S618" s="13">
        <f>H618</f>
        <v>5472654.9800000004</v>
      </c>
      <c r="T618" s="79">
        <v>2021</v>
      </c>
      <c r="U618" s="79">
        <v>2021</v>
      </c>
    </row>
    <row r="619" spans="1:21" ht="15.75">
      <c r="A619" s="290" t="s">
        <v>383</v>
      </c>
      <c r="B619" s="290"/>
      <c r="C619" s="81"/>
      <c r="D619" s="79"/>
      <c r="E619" s="79"/>
      <c r="F619" s="14">
        <f t="shared" ref="F619:S619" si="123">SUM(F618:F618)</f>
        <v>794.2</v>
      </c>
      <c r="G619" s="14">
        <f t="shared" si="123"/>
        <v>735.3</v>
      </c>
      <c r="H619" s="27">
        <f t="shared" si="123"/>
        <v>5472654.9800000004</v>
      </c>
      <c r="I619" s="15">
        <f t="shared" si="123"/>
        <v>0</v>
      </c>
      <c r="J619" s="15">
        <f t="shared" si="123"/>
        <v>0</v>
      </c>
      <c r="K619" s="15">
        <f t="shared" si="123"/>
        <v>5423322.7199999997</v>
      </c>
      <c r="L619" s="15">
        <f t="shared" si="123"/>
        <v>0</v>
      </c>
      <c r="M619" s="15">
        <f t="shared" si="123"/>
        <v>0</v>
      </c>
      <c r="N619" s="15">
        <f t="shared" si="123"/>
        <v>0</v>
      </c>
      <c r="O619" s="15">
        <f t="shared" si="123"/>
        <v>49332.26</v>
      </c>
      <c r="P619" s="15">
        <f t="shared" si="123"/>
        <v>0</v>
      </c>
      <c r="Q619" s="15">
        <f t="shared" si="123"/>
        <v>0</v>
      </c>
      <c r="R619" s="15">
        <f t="shared" si="123"/>
        <v>0</v>
      </c>
      <c r="S619" s="27">
        <f t="shared" si="123"/>
        <v>5472654.9800000004</v>
      </c>
      <c r="T619" s="16" t="s">
        <v>31</v>
      </c>
      <c r="U619" s="16" t="s">
        <v>31</v>
      </c>
    </row>
    <row r="620" spans="1:21" ht="15.75">
      <c r="A620" s="289" t="s">
        <v>593</v>
      </c>
      <c r="B620" s="289"/>
      <c r="C620" s="289"/>
      <c r="D620" s="289"/>
      <c r="E620" s="289"/>
      <c r="F620" s="289"/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</row>
    <row r="621" spans="1:21" ht="15.75">
      <c r="A621" s="79">
        <f>A618+1</f>
        <v>209</v>
      </c>
      <c r="B621" s="186" t="s">
        <v>594</v>
      </c>
      <c r="C621" s="81">
        <v>1961</v>
      </c>
      <c r="D621" s="34"/>
      <c r="E621" s="34"/>
      <c r="F621" s="12">
        <v>1407.7</v>
      </c>
      <c r="G621" s="12">
        <v>1289.0999999999999</v>
      </c>
      <c r="H621" s="1">
        <f t="shared" ref="H621:H628" si="124">I621+J621+K621+L621+M621+N621+O621</f>
        <v>7892629.1299999999</v>
      </c>
      <c r="I621" s="1">
        <v>0</v>
      </c>
      <c r="J621" s="1">
        <v>0</v>
      </c>
      <c r="K621" s="1">
        <f>ROUND(5975.33*G621*1.015,2)</f>
        <v>7818339.8700000001</v>
      </c>
      <c r="L621" s="1">
        <v>0</v>
      </c>
      <c r="M621" s="1">
        <v>0</v>
      </c>
      <c r="N621" s="1">
        <v>0</v>
      </c>
      <c r="O621" s="108">
        <v>74289.259999999995</v>
      </c>
      <c r="P621" s="1">
        <v>0</v>
      </c>
      <c r="Q621" s="1">
        <v>0</v>
      </c>
      <c r="R621" s="1">
        <v>0</v>
      </c>
      <c r="S621" s="13">
        <f t="shared" ref="S621:S628" si="125">H621</f>
        <v>7892629.1299999999</v>
      </c>
      <c r="T621" s="79">
        <v>2021</v>
      </c>
      <c r="U621" s="79">
        <v>2021</v>
      </c>
    </row>
    <row r="622" spans="1:21" ht="15.75">
      <c r="A622" s="79">
        <f t="shared" ref="A622:A628" si="126">A621+1</f>
        <v>210</v>
      </c>
      <c r="B622" s="186" t="s">
        <v>595</v>
      </c>
      <c r="C622" s="81">
        <v>1956</v>
      </c>
      <c r="D622" s="34"/>
      <c r="E622" s="34"/>
      <c r="F622" s="12">
        <v>455.4</v>
      </c>
      <c r="G622" s="12">
        <v>412.6</v>
      </c>
      <c r="H622" s="1">
        <f t="shared" si="124"/>
        <v>2633908.37</v>
      </c>
      <c r="I622" s="1">
        <v>0</v>
      </c>
      <c r="J622" s="1">
        <v>0</v>
      </c>
      <c r="K622" s="1">
        <f>ROUND(G622*6183.99*1.015,2)</f>
        <v>2589786.9900000002</v>
      </c>
      <c r="L622" s="1">
        <v>0</v>
      </c>
      <c r="M622" s="1">
        <v>0</v>
      </c>
      <c r="N622" s="1">
        <v>0</v>
      </c>
      <c r="O622" s="108">
        <v>44121.38</v>
      </c>
      <c r="P622" s="1">
        <v>0</v>
      </c>
      <c r="Q622" s="1">
        <v>0</v>
      </c>
      <c r="R622" s="1">
        <v>0</v>
      </c>
      <c r="S622" s="13">
        <f t="shared" si="125"/>
        <v>2633908.37</v>
      </c>
      <c r="T622" s="79">
        <v>2021</v>
      </c>
      <c r="U622" s="79">
        <v>2021</v>
      </c>
    </row>
    <row r="623" spans="1:21" ht="15.75">
      <c r="A623" s="79">
        <f t="shared" si="126"/>
        <v>211</v>
      </c>
      <c r="B623" s="186" t="s">
        <v>596</v>
      </c>
      <c r="C623" s="81">
        <v>1961</v>
      </c>
      <c r="D623" s="89"/>
      <c r="E623" s="89"/>
      <c r="F623" s="12">
        <v>1851.5</v>
      </c>
      <c r="G623" s="12">
        <v>1743.4</v>
      </c>
      <c r="H623" s="1">
        <f t="shared" si="124"/>
        <v>10641568.439999999</v>
      </c>
      <c r="I623" s="1">
        <v>0</v>
      </c>
      <c r="J623" s="1">
        <v>0</v>
      </c>
      <c r="K623" s="1">
        <f>ROUND(5975.33*G623*1.015,2)</f>
        <v>10573651.18</v>
      </c>
      <c r="L623" s="1">
        <v>0</v>
      </c>
      <c r="M623" s="1">
        <v>0</v>
      </c>
      <c r="N623" s="1">
        <v>0</v>
      </c>
      <c r="O623" s="108">
        <v>67917.259999999995</v>
      </c>
      <c r="P623" s="1">
        <v>0</v>
      </c>
      <c r="Q623" s="1">
        <v>0</v>
      </c>
      <c r="R623" s="1">
        <v>0</v>
      </c>
      <c r="S623" s="13">
        <f t="shared" si="125"/>
        <v>10641568.439999999</v>
      </c>
      <c r="T623" s="79">
        <v>2021</v>
      </c>
      <c r="U623" s="79">
        <v>2021</v>
      </c>
    </row>
    <row r="624" spans="1:21" ht="15.75">
      <c r="A624" s="79">
        <f t="shared" si="126"/>
        <v>212</v>
      </c>
      <c r="B624" s="186" t="s">
        <v>597</v>
      </c>
      <c r="C624" s="81">
        <v>1958</v>
      </c>
      <c r="D624" s="23"/>
      <c r="E624" s="23"/>
      <c r="F624" s="12">
        <v>1086.9000000000001</v>
      </c>
      <c r="G624" s="12">
        <v>962</v>
      </c>
      <c r="H624" s="1">
        <f t="shared" si="124"/>
        <v>5024285.5</v>
      </c>
      <c r="I624" s="1">
        <v>0</v>
      </c>
      <c r="J624" s="1">
        <v>0</v>
      </c>
      <c r="K624" s="1">
        <f>4907697.8+55245.4</f>
        <v>4962943.2</v>
      </c>
      <c r="L624" s="1">
        <v>0</v>
      </c>
      <c r="M624" s="1">
        <v>0</v>
      </c>
      <c r="N624" s="1">
        <v>0</v>
      </c>
      <c r="O624" s="108">
        <v>61342.3</v>
      </c>
      <c r="P624" s="1">
        <v>0</v>
      </c>
      <c r="Q624" s="1">
        <v>0</v>
      </c>
      <c r="R624" s="1">
        <v>0</v>
      </c>
      <c r="S624" s="13">
        <f t="shared" si="125"/>
        <v>5024285.5</v>
      </c>
      <c r="T624" s="79">
        <v>2021</v>
      </c>
      <c r="U624" s="79">
        <v>2021</v>
      </c>
    </row>
    <row r="625" spans="1:21" ht="15.75">
      <c r="A625" s="79">
        <f t="shared" si="126"/>
        <v>213</v>
      </c>
      <c r="B625" s="186" t="s">
        <v>1047</v>
      </c>
      <c r="C625" s="81">
        <v>1979</v>
      </c>
      <c r="D625" s="34"/>
      <c r="E625" s="34"/>
      <c r="F625" s="12">
        <v>4359.5</v>
      </c>
      <c r="G625" s="12">
        <v>4104.3</v>
      </c>
      <c r="H625" s="1">
        <f t="shared" si="124"/>
        <v>11328565.73</v>
      </c>
      <c r="I625" s="1">
        <v>0</v>
      </c>
      <c r="J625" s="1">
        <v>0</v>
      </c>
      <c r="K625" s="1">
        <f>11158637.24+169928.49</f>
        <v>11328565.73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3">
        <f t="shared" si="125"/>
        <v>11328565.73</v>
      </c>
      <c r="T625" s="79">
        <v>2021</v>
      </c>
      <c r="U625" s="79">
        <v>2022</v>
      </c>
    </row>
    <row r="626" spans="1:21" ht="15.75">
      <c r="A626" s="79">
        <f t="shared" si="126"/>
        <v>214</v>
      </c>
      <c r="B626" s="186" t="s">
        <v>598</v>
      </c>
      <c r="C626" s="81">
        <v>1965</v>
      </c>
      <c r="D626" s="89"/>
      <c r="E626" s="89"/>
      <c r="F626" s="12">
        <v>3218.8</v>
      </c>
      <c r="G626" s="12">
        <v>3207.7</v>
      </c>
      <c r="H626" s="1">
        <f t="shared" si="124"/>
        <v>7571381.9500000002</v>
      </c>
      <c r="I626" s="1">
        <v>0</v>
      </c>
      <c r="J626" s="1">
        <v>0</v>
      </c>
      <c r="K626" s="1">
        <v>0</v>
      </c>
      <c r="L626" s="1">
        <v>0</v>
      </c>
      <c r="M626" s="1">
        <f>ROUND(2295.78*G626*1.015,2)</f>
        <v>7474636.1100000003</v>
      </c>
      <c r="N626" s="1">
        <v>0</v>
      </c>
      <c r="O626" s="108">
        <v>96745.84</v>
      </c>
      <c r="P626" s="1">
        <v>0</v>
      </c>
      <c r="Q626" s="1">
        <v>0</v>
      </c>
      <c r="R626" s="1">
        <v>0</v>
      </c>
      <c r="S626" s="13">
        <f t="shared" si="125"/>
        <v>7571381.9500000002</v>
      </c>
      <c r="T626" s="79">
        <v>2021</v>
      </c>
      <c r="U626" s="79">
        <v>2021</v>
      </c>
    </row>
    <row r="627" spans="1:21" ht="15.75">
      <c r="A627" s="79">
        <f t="shared" si="126"/>
        <v>215</v>
      </c>
      <c r="B627" s="186" t="s">
        <v>314</v>
      </c>
      <c r="C627" s="81">
        <v>1956</v>
      </c>
      <c r="D627" s="34"/>
      <c r="E627" s="34"/>
      <c r="F627" s="12">
        <v>453.3</v>
      </c>
      <c r="G627" s="12">
        <v>414.2</v>
      </c>
      <c r="H627" s="1">
        <f t="shared" si="124"/>
        <v>2426576.46</v>
      </c>
      <c r="I627" s="1">
        <v>0</v>
      </c>
      <c r="J627" s="1">
        <v>0</v>
      </c>
      <c r="K627" s="1">
        <f>2403908+22668.46</f>
        <v>2426576.46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3">
        <f t="shared" si="125"/>
        <v>2426576.46</v>
      </c>
      <c r="T627" s="79">
        <v>2021</v>
      </c>
      <c r="U627" s="79">
        <v>2021</v>
      </c>
    </row>
    <row r="628" spans="1:21" ht="15.75">
      <c r="A628" s="79">
        <f t="shared" si="126"/>
        <v>216</v>
      </c>
      <c r="B628" s="186" t="s">
        <v>599</v>
      </c>
      <c r="C628" s="81">
        <v>1965</v>
      </c>
      <c r="D628" s="89"/>
      <c r="E628" s="89"/>
      <c r="F628" s="12">
        <v>4124.3</v>
      </c>
      <c r="G628" s="12">
        <v>3512.1</v>
      </c>
      <c r="H628" s="1">
        <f t="shared" si="124"/>
        <v>8374169.6699999999</v>
      </c>
      <c r="I628" s="1">
        <v>0</v>
      </c>
      <c r="J628" s="1">
        <v>0</v>
      </c>
      <c r="K628" s="1">
        <v>0</v>
      </c>
      <c r="L628" s="1">
        <v>0</v>
      </c>
      <c r="M628" s="1">
        <f>ROUND(2295.78*G628*1.015,2)</f>
        <v>8183954.0700000003</v>
      </c>
      <c r="N628" s="1">
        <v>0</v>
      </c>
      <c r="O628" s="108">
        <v>190215.6</v>
      </c>
      <c r="P628" s="1">
        <v>0</v>
      </c>
      <c r="Q628" s="1">
        <v>0</v>
      </c>
      <c r="R628" s="1">
        <v>0</v>
      </c>
      <c r="S628" s="13">
        <f t="shared" si="125"/>
        <v>8374169.6699999999</v>
      </c>
      <c r="T628" s="79">
        <v>2021</v>
      </c>
      <c r="U628" s="79">
        <v>2021</v>
      </c>
    </row>
    <row r="629" spans="1:21" ht="15.75">
      <c r="A629" s="290" t="s">
        <v>383</v>
      </c>
      <c r="B629" s="290"/>
      <c r="C629" s="81"/>
      <c r="D629" s="79"/>
      <c r="E629" s="79"/>
      <c r="F629" s="14">
        <f t="shared" ref="F629:S629" si="127">SUM(F621:F628)</f>
        <v>16957.400000000001</v>
      </c>
      <c r="G629" s="14">
        <f t="shared" si="127"/>
        <v>15645.4</v>
      </c>
      <c r="H629" s="15">
        <f t="shared" si="127"/>
        <v>55893085.25</v>
      </c>
      <c r="I629" s="15">
        <f t="shared" si="127"/>
        <v>0</v>
      </c>
      <c r="J629" s="15">
        <f t="shared" si="127"/>
        <v>0</v>
      </c>
      <c r="K629" s="15">
        <f t="shared" si="127"/>
        <v>39699863.43</v>
      </c>
      <c r="L629" s="15">
        <f t="shared" si="127"/>
        <v>0</v>
      </c>
      <c r="M629" s="15">
        <f t="shared" si="127"/>
        <v>15658590.18</v>
      </c>
      <c r="N629" s="15">
        <f t="shared" si="127"/>
        <v>0</v>
      </c>
      <c r="O629" s="15">
        <f t="shared" si="127"/>
        <v>534631.64</v>
      </c>
      <c r="P629" s="15">
        <f t="shared" si="127"/>
        <v>0</v>
      </c>
      <c r="Q629" s="15">
        <f t="shared" si="127"/>
        <v>0</v>
      </c>
      <c r="R629" s="15">
        <f t="shared" si="127"/>
        <v>0</v>
      </c>
      <c r="S629" s="27">
        <f t="shared" si="127"/>
        <v>55893085.25</v>
      </c>
      <c r="T629" s="16" t="s">
        <v>31</v>
      </c>
      <c r="U629" s="16" t="s">
        <v>31</v>
      </c>
    </row>
    <row r="630" spans="1:21" ht="15.75">
      <c r="A630" s="289" t="s">
        <v>601</v>
      </c>
      <c r="B630" s="289"/>
      <c r="C630" s="289"/>
      <c r="D630" s="289"/>
      <c r="E630" s="289"/>
      <c r="F630" s="289"/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</row>
    <row r="631" spans="1:21" ht="15.75">
      <c r="A631" s="79">
        <f>A628+1</f>
        <v>217</v>
      </c>
      <c r="B631" s="186" t="s">
        <v>602</v>
      </c>
      <c r="C631" s="81">
        <v>1993</v>
      </c>
      <c r="D631" s="91"/>
      <c r="E631" s="79"/>
      <c r="F631" s="92">
        <v>5331.1</v>
      </c>
      <c r="G631" s="92">
        <v>4209.6000000000004</v>
      </c>
      <c r="H631" s="1">
        <f>I631+J631+K631+L631+M631+N631+O631</f>
        <v>3233629.02</v>
      </c>
      <c r="I631" s="1">
        <f>ROUND(G631*690.32*1.015,2)</f>
        <v>2949560.64</v>
      </c>
      <c r="J631" s="1">
        <v>0</v>
      </c>
      <c r="K631" s="1"/>
      <c r="L631" s="1">
        <v>0</v>
      </c>
      <c r="M631" s="1">
        <v>0</v>
      </c>
      <c r="N631" s="1">
        <v>0</v>
      </c>
      <c r="O631" s="108">
        <v>284068.38</v>
      </c>
      <c r="P631" s="1">
        <v>0</v>
      </c>
      <c r="Q631" s="1">
        <v>0</v>
      </c>
      <c r="R631" s="1">
        <v>0</v>
      </c>
      <c r="S631" s="13">
        <v>3233629.02</v>
      </c>
      <c r="T631" s="79">
        <v>2021</v>
      </c>
      <c r="U631" s="79">
        <v>2021</v>
      </c>
    </row>
    <row r="632" spans="1:21" ht="15.75">
      <c r="A632" s="79">
        <f>A631+1</f>
        <v>218</v>
      </c>
      <c r="B632" s="186" t="s">
        <v>603</v>
      </c>
      <c r="C632" s="81">
        <v>1975</v>
      </c>
      <c r="D632" s="91"/>
      <c r="E632" s="79"/>
      <c r="F632" s="92">
        <v>4639.1000000000004</v>
      </c>
      <c r="G632" s="92">
        <v>3417.3</v>
      </c>
      <c r="H632" s="1">
        <f>I632+J632+K632+L632+M632+N632+O632</f>
        <v>2668867.5299999998</v>
      </c>
      <c r="I632" s="1">
        <f>ROUND(G632*690.32*1.015,2)+0.01</f>
        <v>2394416</v>
      </c>
      <c r="J632" s="1"/>
      <c r="K632" s="1"/>
      <c r="L632" s="1"/>
      <c r="M632" s="1"/>
      <c r="N632" s="1"/>
      <c r="O632" s="108">
        <v>274451.53000000003</v>
      </c>
      <c r="P632" s="1">
        <v>0</v>
      </c>
      <c r="Q632" s="1"/>
      <c r="R632" s="1"/>
      <c r="S632" s="13">
        <v>2668867.5299999998</v>
      </c>
      <c r="T632" s="79">
        <v>2021</v>
      </c>
      <c r="U632" s="79">
        <v>2021</v>
      </c>
    </row>
    <row r="633" spans="1:21" ht="15.75">
      <c r="A633" s="290" t="s">
        <v>383</v>
      </c>
      <c r="B633" s="290"/>
      <c r="C633" s="83"/>
      <c r="D633" s="116"/>
      <c r="E633" s="116"/>
      <c r="F633" s="14">
        <f t="shared" ref="F633:S633" si="128">SUM(F631:F632)</f>
        <v>9970.2000000000007</v>
      </c>
      <c r="G633" s="14">
        <f t="shared" si="128"/>
        <v>7626.9</v>
      </c>
      <c r="H633" s="27">
        <f t="shared" si="128"/>
        <v>5902496.5499999998</v>
      </c>
      <c r="I633" s="27">
        <f t="shared" si="128"/>
        <v>5343976.6399999997</v>
      </c>
      <c r="J633" s="15">
        <f t="shared" si="128"/>
        <v>0</v>
      </c>
      <c r="K633" s="15">
        <f t="shared" si="128"/>
        <v>0</v>
      </c>
      <c r="L633" s="15">
        <f t="shared" si="128"/>
        <v>0</v>
      </c>
      <c r="M633" s="15">
        <f t="shared" si="128"/>
        <v>0</v>
      </c>
      <c r="N633" s="15">
        <f t="shared" si="128"/>
        <v>0</v>
      </c>
      <c r="O633" s="15">
        <f t="shared" si="128"/>
        <v>558519.91</v>
      </c>
      <c r="P633" s="15">
        <f t="shared" si="128"/>
        <v>0</v>
      </c>
      <c r="Q633" s="15">
        <f t="shared" si="128"/>
        <v>0</v>
      </c>
      <c r="R633" s="15">
        <f t="shared" si="128"/>
        <v>0</v>
      </c>
      <c r="S633" s="27">
        <f t="shared" si="128"/>
        <v>5902496.5499999998</v>
      </c>
      <c r="T633" s="16" t="s">
        <v>31</v>
      </c>
      <c r="U633" s="16" t="s">
        <v>31</v>
      </c>
    </row>
    <row r="634" spans="1:21" ht="15.75">
      <c r="A634" s="290" t="s">
        <v>1082</v>
      </c>
      <c r="B634" s="290"/>
      <c r="C634" s="83"/>
      <c r="D634" s="116"/>
      <c r="E634" s="116"/>
      <c r="F634" s="15">
        <f t="shared" ref="F634:S634" si="129">F633+F629+F619</f>
        <v>27721.8</v>
      </c>
      <c r="G634" s="15">
        <f t="shared" si="129"/>
        <v>24007.599999999999</v>
      </c>
      <c r="H634" s="15">
        <f t="shared" si="129"/>
        <v>67268236.780000001</v>
      </c>
      <c r="I634" s="15">
        <f t="shared" si="129"/>
        <v>5343976.6399999997</v>
      </c>
      <c r="J634" s="15">
        <f t="shared" si="129"/>
        <v>0</v>
      </c>
      <c r="K634" s="15">
        <f t="shared" si="129"/>
        <v>45123186.149999999</v>
      </c>
      <c r="L634" s="15">
        <f t="shared" si="129"/>
        <v>0</v>
      </c>
      <c r="M634" s="15">
        <f t="shared" si="129"/>
        <v>15658590.18</v>
      </c>
      <c r="N634" s="15">
        <f t="shared" si="129"/>
        <v>0</v>
      </c>
      <c r="O634" s="15">
        <f t="shared" si="129"/>
        <v>1142483.81</v>
      </c>
      <c r="P634" s="15">
        <f t="shared" si="129"/>
        <v>0</v>
      </c>
      <c r="Q634" s="15">
        <f t="shared" si="129"/>
        <v>0</v>
      </c>
      <c r="R634" s="15">
        <f t="shared" si="129"/>
        <v>0</v>
      </c>
      <c r="S634" s="27">
        <f t="shared" si="129"/>
        <v>67268236.780000001</v>
      </c>
      <c r="T634" s="16" t="s">
        <v>31</v>
      </c>
      <c r="U634" s="16" t="s">
        <v>31</v>
      </c>
    </row>
    <row r="635" spans="1:21" ht="15.75">
      <c r="A635" s="289" t="s">
        <v>1058</v>
      </c>
      <c r="B635" s="289"/>
      <c r="C635" s="289"/>
      <c r="D635" s="289"/>
      <c r="E635" s="289"/>
      <c r="F635" s="289"/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</row>
    <row r="636" spans="1:21" ht="15.75">
      <c r="A636" s="289" t="s">
        <v>808</v>
      </c>
      <c r="B636" s="289"/>
      <c r="C636" s="289"/>
      <c r="D636" s="289"/>
      <c r="E636" s="289"/>
      <c r="F636" s="289"/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</row>
    <row r="637" spans="1:21" ht="15.75">
      <c r="A637" s="79">
        <f>A632+1</f>
        <v>219</v>
      </c>
      <c r="B637" s="254" t="s">
        <v>623</v>
      </c>
      <c r="C637" s="105">
        <v>1972</v>
      </c>
      <c r="D637" s="79"/>
      <c r="E637" s="79"/>
      <c r="F637" s="90">
        <v>1919.7</v>
      </c>
      <c r="G637" s="90">
        <v>1767.6</v>
      </c>
      <c r="H637" s="1">
        <f>I637+J637+K637+L637+M637+N637+O637</f>
        <v>4900225.62</v>
      </c>
      <c r="I637" s="1">
        <v>0</v>
      </c>
      <c r="J637" s="1">
        <v>0</v>
      </c>
      <c r="K637" s="1">
        <f>ROUND(G637*2678.59*1.015,2)</f>
        <v>4805695.82</v>
      </c>
      <c r="L637" s="1">
        <v>0</v>
      </c>
      <c r="M637" s="1">
        <v>0</v>
      </c>
      <c r="N637" s="1">
        <v>0</v>
      </c>
      <c r="O637" s="1">
        <v>94529.8</v>
      </c>
      <c r="P637" s="1">
        <v>0</v>
      </c>
      <c r="Q637" s="1">
        <v>0</v>
      </c>
      <c r="R637" s="1">
        <v>0</v>
      </c>
      <c r="S637" s="13">
        <f>H637</f>
        <v>4900225.62</v>
      </c>
      <c r="T637" s="79">
        <v>2021</v>
      </c>
      <c r="U637" s="79">
        <v>2021</v>
      </c>
    </row>
    <row r="638" spans="1:21" ht="15.75">
      <c r="A638" s="290" t="s">
        <v>383</v>
      </c>
      <c r="B638" s="290"/>
      <c r="C638" s="83"/>
      <c r="D638" s="116"/>
      <c r="E638" s="116"/>
      <c r="F638" s="14">
        <f>SUM(F637:F637)</f>
        <v>1919.7</v>
      </c>
      <c r="G638" s="14">
        <f>SUM(G637:G637)</f>
        <v>1767.6</v>
      </c>
      <c r="H638" s="27">
        <f>SUM(H637:H637)</f>
        <v>4900225.62</v>
      </c>
      <c r="I638" s="15">
        <v>0</v>
      </c>
      <c r="J638" s="15">
        <v>0</v>
      </c>
      <c r="K638" s="27">
        <f>SUM(K637:K637)</f>
        <v>4805695.82</v>
      </c>
      <c r="L638" s="15">
        <f>SUM(L637)</f>
        <v>0</v>
      </c>
      <c r="M638" s="15">
        <f>SUM(M637)</f>
        <v>0</v>
      </c>
      <c r="N638" s="15">
        <f>SUM(N637)</f>
        <v>0</v>
      </c>
      <c r="O638" s="27">
        <f>SUM(O637:O637)</f>
        <v>94529.8</v>
      </c>
      <c r="P638" s="15">
        <f>SUM(P637)</f>
        <v>0</v>
      </c>
      <c r="Q638" s="15">
        <f>SUM(Q637)</f>
        <v>0</v>
      </c>
      <c r="R638" s="15">
        <v>0</v>
      </c>
      <c r="S638" s="27">
        <f>SUM(S637:S637)</f>
        <v>4900225.62</v>
      </c>
      <c r="T638" s="16" t="s">
        <v>31</v>
      </c>
      <c r="U638" s="16" t="s">
        <v>31</v>
      </c>
    </row>
    <row r="639" spans="1:21" ht="15.75">
      <c r="A639" s="289" t="s">
        <v>608</v>
      </c>
      <c r="B639" s="289"/>
      <c r="C639" s="289"/>
      <c r="D639" s="289"/>
      <c r="E639" s="289"/>
      <c r="F639" s="289"/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</row>
    <row r="640" spans="1:21" ht="15.75">
      <c r="A640" s="79">
        <f>A637+1</f>
        <v>220</v>
      </c>
      <c r="B640" s="186" t="s">
        <v>609</v>
      </c>
      <c r="C640" s="81">
        <v>1973</v>
      </c>
      <c r="D640" s="79"/>
      <c r="E640" s="79"/>
      <c r="F640" s="33">
        <v>3716.3</v>
      </c>
      <c r="G640" s="92">
        <v>3359.8</v>
      </c>
      <c r="H640" s="1">
        <f>I640+J640+K640+L640+M640+N640+O640</f>
        <v>9506850.6899999995</v>
      </c>
      <c r="I640" s="1">
        <v>0</v>
      </c>
      <c r="J640" s="1">
        <v>0</v>
      </c>
      <c r="K640" s="1">
        <f>ROUND(G640*2760.17*1.015,2)+0.01</f>
        <v>9412723.4600000009</v>
      </c>
      <c r="L640" s="1">
        <v>0</v>
      </c>
      <c r="M640" s="1">
        <v>0</v>
      </c>
      <c r="N640" s="1">
        <v>0</v>
      </c>
      <c r="O640" s="1">
        <v>94127.23</v>
      </c>
      <c r="P640" s="1">
        <v>0</v>
      </c>
      <c r="Q640" s="1">
        <v>0</v>
      </c>
      <c r="R640" s="1">
        <v>0</v>
      </c>
      <c r="S640" s="13">
        <f>H640</f>
        <v>9506850.6899999995</v>
      </c>
      <c r="T640" s="79">
        <v>2021</v>
      </c>
      <c r="U640" s="79">
        <v>2021</v>
      </c>
    </row>
    <row r="641" spans="1:21" ht="15.75">
      <c r="A641" s="290" t="s">
        <v>383</v>
      </c>
      <c r="B641" s="290"/>
      <c r="C641" s="81"/>
      <c r="D641" s="79"/>
      <c r="E641" s="79"/>
      <c r="F641" s="14">
        <f t="shared" ref="F641:S641" si="130">SUM(F640:F640)</f>
        <v>3716.3</v>
      </c>
      <c r="G641" s="14">
        <f t="shared" si="130"/>
        <v>3359.8</v>
      </c>
      <c r="H641" s="27">
        <f t="shared" si="130"/>
        <v>9506850.6899999995</v>
      </c>
      <c r="I641" s="15">
        <f t="shared" si="130"/>
        <v>0</v>
      </c>
      <c r="J641" s="15">
        <f t="shared" si="130"/>
        <v>0</v>
      </c>
      <c r="K641" s="27">
        <f t="shared" si="130"/>
        <v>9412723.4600000009</v>
      </c>
      <c r="L641" s="15">
        <f t="shared" si="130"/>
        <v>0</v>
      </c>
      <c r="M641" s="15">
        <f t="shared" si="130"/>
        <v>0</v>
      </c>
      <c r="N641" s="15">
        <f t="shared" si="130"/>
        <v>0</v>
      </c>
      <c r="O641" s="27">
        <f t="shared" si="130"/>
        <v>94127.23</v>
      </c>
      <c r="P641" s="15">
        <f t="shared" si="130"/>
        <v>0</v>
      </c>
      <c r="Q641" s="15">
        <f t="shared" si="130"/>
        <v>0</v>
      </c>
      <c r="R641" s="15">
        <f t="shared" si="130"/>
        <v>0</v>
      </c>
      <c r="S641" s="27">
        <f t="shared" si="130"/>
        <v>9506850.6899999995</v>
      </c>
      <c r="T641" s="16" t="s">
        <v>31</v>
      </c>
      <c r="U641" s="16" t="s">
        <v>31</v>
      </c>
    </row>
    <row r="642" spans="1:21" ht="15.75">
      <c r="A642" s="289" t="s">
        <v>610</v>
      </c>
      <c r="B642" s="289"/>
      <c r="C642" s="289"/>
      <c r="D642" s="289"/>
      <c r="E642" s="289"/>
      <c r="F642" s="289"/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</row>
    <row r="643" spans="1:21" ht="15.75">
      <c r="A643" s="79">
        <f>A640+1</f>
        <v>221</v>
      </c>
      <c r="B643" s="254" t="s">
        <v>611</v>
      </c>
      <c r="C643" s="95">
        <v>1959</v>
      </c>
      <c r="D643" s="79"/>
      <c r="E643" s="79"/>
      <c r="F643" s="90">
        <v>623.29999999999995</v>
      </c>
      <c r="G643" s="90">
        <v>574.79999999999995</v>
      </c>
      <c r="H643" s="1">
        <f>I643+J643+K643+L643+M643+N643+O643</f>
        <v>4285677.3099999996</v>
      </c>
      <c r="I643" s="1">
        <v>0</v>
      </c>
      <c r="J643" s="1">
        <v>0</v>
      </c>
      <c r="K643" s="1">
        <f>ROUND(G643*7266.66*1.015,2)</f>
        <v>4239529.3099999996</v>
      </c>
      <c r="L643" s="1">
        <v>0</v>
      </c>
      <c r="M643" s="1">
        <v>0</v>
      </c>
      <c r="N643" s="1">
        <v>0</v>
      </c>
      <c r="O643" s="108">
        <v>46148</v>
      </c>
      <c r="P643" s="1">
        <v>0</v>
      </c>
      <c r="Q643" s="1">
        <v>0</v>
      </c>
      <c r="R643" s="1">
        <v>0</v>
      </c>
      <c r="S643" s="13">
        <f>H643</f>
        <v>4285677.3099999996</v>
      </c>
      <c r="T643" s="79">
        <v>2021</v>
      </c>
      <c r="U643" s="79">
        <v>2021</v>
      </c>
    </row>
    <row r="644" spans="1:21" ht="15.75">
      <c r="A644" s="79">
        <f>A643+1</f>
        <v>222</v>
      </c>
      <c r="B644" s="254" t="s">
        <v>612</v>
      </c>
      <c r="C644" s="95">
        <v>1986</v>
      </c>
      <c r="D644" s="79"/>
      <c r="E644" s="79"/>
      <c r="F644" s="90">
        <v>3608.3</v>
      </c>
      <c r="G644" s="90">
        <v>3330.9</v>
      </c>
      <c r="H644" s="1">
        <f>I644+J644+K644+L644+M644+N644+O644</f>
        <v>7948501.2000000002</v>
      </c>
      <c r="I644" s="1">
        <v>0</v>
      </c>
      <c r="J644" s="1">
        <v>0</v>
      </c>
      <c r="K644" s="1">
        <v>0</v>
      </c>
      <c r="L644" s="1">
        <v>0</v>
      </c>
      <c r="M644" s="1">
        <f>ROUND(2295.78*G644*1.015,2)-0.01</f>
        <v>7761718.7999999998</v>
      </c>
      <c r="N644" s="1">
        <v>0</v>
      </c>
      <c r="O644" s="108">
        <v>186782.4</v>
      </c>
      <c r="P644" s="1">
        <v>0</v>
      </c>
      <c r="Q644" s="1">
        <v>0</v>
      </c>
      <c r="R644" s="1">
        <v>0</v>
      </c>
      <c r="S644" s="13">
        <f>H644</f>
        <v>7948501.2000000002</v>
      </c>
      <c r="T644" s="79">
        <v>2021</v>
      </c>
      <c r="U644" s="79">
        <v>2021</v>
      </c>
    </row>
    <row r="645" spans="1:21" ht="15.75">
      <c r="A645" s="290" t="s">
        <v>383</v>
      </c>
      <c r="B645" s="290"/>
      <c r="C645" s="83"/>
      <c r="D645" s="116"/>
      <c r="E645" s="116"/>
      <c r="F645" s="14">
        <f t="shared" ref="F645:S645" si="131">SUM(F643:F644)</f>
        <v>4231.6000000000004</v>
      </c>
      <c r="G645" s="14">
        <f t="shared" si="131"/>
        <v>3905.7</v>
      </c>
      <c r="H645" s="27">
        <f t="shared" si="131"/>
        <v>12234178.51</v>
      </c>
      <c r="I645" s="15">
        <f t="shared" si="131"/>
        <v>0</v>
      </c>
      <c r="J645" s="15">
        <f t="shared" si="131"/>
        <v>0</v>
      </c>
      <c r="K645" s="27">
        <f t="shared" si="131"/>
        <v>4239529.3099999996</v>
      </c>
      <c r="L645" s="15">
        <f t="shared" si="131"/>
        <v>0</v>
      </c>
      <c r="M645" s="15">
        <f t="shared" si="131"/>
        <v>7761718.7999999998</v>
      </c>
      <c r="N645" s="15">
        <f t="shared" si="131"/>
        <v>0</v>
      </c>
      <c r="O645" s="15">
        <f t="shared" si="131"/>
        <v>232930.4</v>
      </c>
      <c r="P645" s="15">
        <f t="shared" si="131"/>
        <v>0</v>
      </c>
      <c r="Q645" s="15">
        <f t="shared" si="131"/>
        <v>0</v>
      </c>
      <c r="R645" s="15">
        <f t="shared" si="131"/>
        <v>0</v>
      </c>
      <c r="S645" s="27">
        <f t="shared" si="131"/>
        <v>12234178.51</v>
      </c>
      <c r="T645" s="16" t="s">
        <v>31</v>
      </c>
      <c r="U645" s="16" t="s">
        <v>31</v>
      </c>
    </row>
    <row r="646" spans="1:21" ht="15.75">
      <c r="A646" s="289" t="s">
        <v>614</v>
      </c>
      <c r="B646" s="289"/>
      <c r="C646" s="289"/>
      <c r="D646" s="289"/>
      <c r="E646" s="289"/>
      <c r="F646" s="289"/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</row>
    <row r="647" spans="1:21" ht="15.75">
      <c r="A647" s="89">
        <f>A644+1</f>
        <v>223</v>
      </c>
      <c r="B647" s="255" t="s">
        <v>615</v>
      </c>
      <c r="C647" s="81">
        <v>1974</v>
      </c>
      <c r="D647" s="79"/>
      <c r="E647" s="79"/>
      <c r="F647" s="108">
        <v>2976.83</v>
      </c>
      <c r="G647" s="90">
        <v>2663</v>
      </c>
      <c r="H647" s="1">
        <f>I647+J647+K647+L647+M647+N647+O647</f>
        <v>2542529.21</v>
      </c>
      <c r="I647" s="1">
        <f>ROUND((457.67+430.48)*G647*1.015,2)</f>
        <v>2400620.6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141908.60999999999</v>
      </c>
      <c r="P647" s="1">
        <v>0</v>
      </c>
      <c r="Q647" s="1">
        <v>0</v>
      </c>
      <c r="R647" s="1">
        <v>0</v>
      </c>
      <c r="S647" s="13">
        <f>H647</f>
        <v>2542529.21</v>
      </c>
      <c r="T647" s="79">
        <v>2020</v>
      </c>
      <c r="U647" s="79">
        <v>2021</v>
      </c>
    </row>
    <row r="648" spans="1:21" ht="15.75">
      <c r="A648" s="89">
        <f>A647+1</f>
        <v>224</v>
      </c>
      <c r="B648" s="255" t="s">
        <v>616</v>
      </c>
      <c r="C648" s="81">
        <v>1975</v>
      </c>
      <c r="D648" s="79"/>
      <c r="E648" s="79"/>
      <c r="F648" s="90">
        <v>2978.9</v>
      </c>
      <c r="G648" s="90">
        <v>2666.1</v>
      </c>
      <c r="H648" s="1">
        <f>I648+J648+K648+L648+M648+N648+O648</f>
        <v>1454868.11</v>
      </c>
      <c r="I648" s="1">
        <f>ROUND((293.24+214.38)*G648*1.015,2)</f>
        <v>1373666.17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81201.94</v>
      </c>
      <c r="P648" s="1">
        <v>0</v>
      </c>
      <c r="Q648" s="1">
        <v>0</v>
      </c>
      <c r="R648" s="1">
        <v>0</v>
      </c>
      <c r="S648" s="13">
        <f>H648</f>
        <v>1454868.11</v>
      </c>
      <c r="T648" s="79">
        <v>2020</v>
      </c>
      <c r="U648" s="79">
        <v>2021</v>
      </c>
    </row>
    <row r="649" spans="1:21" ht="15.75">
      <c r="A649" s="89">
        <f>A648+1</f>
        <v>225</v>
      </c>
      <c r="B649" s="255" t="s">
        <v>617</v>
      </c>
      <c r="C649" s="81">
        <v>1976</v>
      </c>
      <c r="D649" s="116"/>
      <c r="E649" s="116"/>
      <c r="F649" s="90">
        <v>2992.1</v>
      </c>
      <c r="G649" s="90">
        <v>2682.2</v>
      </c>
      <c r="H649" s="1">
        <f>I649+J649+K649+L649+M649+N649+O649</f>
        <v>845517.95</v>
      </c>
      <c r="I649" s="1">
        <f>ROUND(293.24*G649*1.015,2)</f>
        <v>798326.25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47191.7</v>
      </c>
      <c r="P649" s="1">
        <v>0</v>
      </c>
      <c r="Q649" s="1">
        <v>0</v>
      </c>
      <c r="R649" s="1">
        <v>0</v>
      </c>
      <c r="S649" s="13">
        <f>H649</f>
        <v>845517.95</v>
      </c>
      <c r="T649" s="79">
        <v>2020</v>
      </c>
      <c r="U649" s="79">
        <v>2021</v>
      </c>
    </row>
    <row r="650" spans="1:21" ht="15.75">
      <c r="A650" s="290" t="s">
        <v>383</v>
      </c>
      <c r="B650" s="290"/>
      <c r="C650" s="93"/>
      <c r="D650" s="94"/>
      <c r="E650" s="94"/>
      <c r="F650" s="15">
        <f t="shared" ref="F650:S650" si="132">SUM(F647:F649)</f>
        <v>8947.83</v>
      </c>
      <c r="G650" s="14">
        <f t="shared" si="132"/>
        <v>8011.3</v>
      </c>
      <c r="H650" s="27">
        <f t="shared" si="132"/>
        <v>4842915.2699999996</v>
      </c>
      <c r="I650" s="27">
        <f t="shared" si="132"/>
        <v>4572613.0199999996</v>
      </c>
      <c r="J650" s="15">
        <f t="shared" si="132"/>
        <v>0</v>
      </c>
      <c r="K650" s="15">
        <f t="shared" si="132"/>
        <v>0</v>
      </c>
      <c r="L650" s="15">
        <f t="shared" si="132"/>
        <v>0</v>
      </c>
      <c r="M650" s="15">
        <f t="shared" si="132"/>
        <v>0</v>
      </c>
      <c r="N650" s="15">
        <f t="shared" si="132"/>
        <v>0</v>
      </c>
      <c r="O650" s="15">
        <f t="shared" si="132"/>
        <v>270302.25</v>
      </c>
      <c r="P650" s="15">
        <f t="shared" si="132"/>
        <v>0</v>
      </c>
      <c r="Q650" s="15">
        <f t="shared" si="132"/>
        <v>0</v>
      </c>
      <c r="R650" s="15">
        <f t="shared" si="132"/>
        <v>0</v>
      </c>
      <c r="S650" s="27">
        <f t="shared" si="132"/>
        <v>4842915.2699999996</v>
      </c>
      <c r="T650" s="16" t="s">
        <v>31</v>
      </c>
      <c r="U650" s="16" t="s">
        <v>31</v>
      </c>
    </row>
    <row r="651" spans="1:21" ht="15.75">
      <c r="A651" s="289" t="s">
        <v>770</v>
      </c>
      <c r="B651" s="289"/>
      <c r="C651" s="289"/>
      <c r="D651" s="289"/>
      <c r="E651" s="289"/>
      <c r="F651" s="289"/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</row>
    <row r="652" spans="1:21" ht="15.75">
      <c r="A652" s="79">
        <f>A649+1</f>
        <v>226</v>
      </c>
      <c r="B652" s="256" t="s">
        <v>618</v>
      </c>
      <c r="C652" s="81">
        <v>1990</v>
      </c>
      <c r="D652" s="79"/>
      <c r="E652" s="79"/>
      <c r="F652" s="90">
        <v>5085</v>
      </c>
      <c r="G652" s="90">
        <v>4164.6000000000004</v>
      </c>
      <c r="H652" s="1">
        <f>I652+J652+K652+L652+M652+N652+O652</f>
        <v>6075603.3200000003</v>
      </c>
      <c r="I652" s="1">
        <v>0</v>
      </c>
      <c r="J652" s="1">
        <f>6075603.32-O652</f>
        <v>5923713.2400000002</v>
      </c>
      <c r="K652" s="1">
        <v>0</v>
      </c>
      <c r="L652" s="1">
        <v>0</v>
      </c>
      <c r="M652" s="1">
        <v>0</v>
      </c>
      <c r="N652" s="1">
        <v>0</v>
      </c>
      <c r="O652" s="1">
        <v>151890.07999999999</v>
      </c>
      <c r="P652" s="1">
        <v>0</v>
      </c>
      <c r="Q652" s="1">
        <v>0</v>
      </c>
      <c r="R652" s="1">
        <v>0</v>
      </c>
      <c r="S652" s="13">
        <f>H652</f>
        <v>6075603.3200000003</v>
      </c>
      <c r="T652" s="79">
        <v>2021</v>
      </c>
      <c r="U652" s="79">
        <v>2021</v>
      </c>
    </row>
    <row r="653" spans="1:21" ht="15.75">
      <c r="A653" s="79">
        <f>A652+1</f>
        <v>227</v>
      </c>
      <c r="B653" s="256" t="s">
        <v>619</v>
      </c>
      <c r="C653" s="81">
        <v>1959</v>
      </c>
      <c r="D653" s="79"/>
      <c r="E653" s="79"/>
      <c r="F653" s="90">
        <v>848.3</v>
      </c>
      <c r="G653" s="90">
        <v>673.7</v>
      </c>
      <c r="H653" s="1">
        <f>I653+J653+K653+L653+M653+N653+O653</f>
        <v>4276160.25</v>
      </c>
      <c r="I653" s="1">
        <v>0</v>
      </c>
      <c r="J653" s="1"/>
      <c r="K653" s="1">
        <f>ROUND(G653*6183.99*1.015,2)</f>
        <v>4228646.37</v>
      </c>
      <c r="L653" s="1">
        <v>0</v>
      </c>
      <c r="M653" s="1">
        <v>0</v>
      </c>
      <c r="N653" s="1">
        <v>0</v>
      </c>
      <c r="O653" s="1">
        <v>47513.88</v>
      </c>
      <c r="P653" s="1">
        <v>0</v>
      </c>
      <c r="Q653" s="1">
        <v>0</v>
      </c>
      <c r="R653" s="1">
        <v>0</v>
      </c>
      <c r="S653" s="13">
        <f>H653</f>
        <v>4276160.25</v>
      </c>
      <c r="T653" s="79">
        <v>2020</v>
      </c>
      <c r="U653" s="79">
        <v>2021</v>
      </c>
    </row>
    <row r="654" spans="1:21" ht="15.75">
      <c r="A654" s="79">
        <f>A653+1</f>
        <v>228</v>
      </c>
      <c r="B654" s="256" t="s">
        <v>620</v>
      </c>
      <c r="C654" s="81">
        <v>1962</v>
      </c>
      <c r="D654" s="79"/>
      <c r="E654" s="79"/>
      <c r="F654" s="90">
        <v>516.6</v>
      </c>
      <c r="G654" s="90">
        <v>489.9</v>
      </c>
      <c r="H654" s="1">
        <f>I654+J654+K654+L654+M654+N654+O654</f>
        <v>3119475.19</v>
      </c>
      <c r="I654" s="1">
        <v>0</v>
      </c>
      <c r="J654" s="1"/>
      <c r="K654" s="1">
        <f>ROUND(G654*6183.99*1.015,2)</f>
        <v>3074979.75</v>
      </c>
      <c r="L654" s="1">
        <v>0</v>
      </c>
      <c r="M654" s="1">
        <v>0</v>
      </c>
      <c r="N654" s="1">
        <v>0</v>
      </c>
      <c r="O654" s="1">
        <v>44495.44</v>
      </c>
      <c r="P654" s="1">
        <v>0</v>
      </c>
      <c r="Q654" s="1">
        <v>0</v>
      </c>
      <c r="R654" s="1">
        <v>0</v>
      </c>
      <c r="S654" s="13">
        <f>H654</f>
        <v>3119475.19</v>
      </c>
      <c r="T654" s="79">
        <v>2021</v>
      </c>
      <c r="U654" s="79">
        <v>2021</v>
      </c>
    </row>
    <row r="655" spans="1:21" ht="15.75">
      <c r="A655" s="79">
        <f>A654+1</f>
        <v>229</v>
      </c>
      <c r="B655" s="256" t="s">
        <v>621</v>
      </c>
      <c r="C655" s="81">
        <v>1978</v>
      </c>
      <c r="D655" s="79"/>
      <c r="E655" s="79"/>
      <c r="F655" s="90">
        <v>5733.2</v>
      </c>
      <c r="G655" s="90">
        <v>4859.7</v>
      </c>
      <c r="H655" s="1">
        <f>I655+J655+K655+L655+M655+N655+O655</f>
        <v>376743.64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376743.64</v>
      </c>
      <c r="P655" s="1">
        <v>0</v>
      </c>
      <c r="Q655" s="1">
        <v>0</v>
      </c>
      <c r="R655" s="1">
        <v>0</v>
      </c>
      <c r="S655" s="13">
        <f>H655</f>
        <v>376743.64</v>
      </c>
      <c r="T655" s="79">
        <v>2021</v>
      </c>
      <c r="U655" s="79">
        <v>2022</v>
      </c>
    </row>
    <row r="656" spans="1:21" ht="15.75">
      <c r="A656" s="290" t="s">
        <v>383</v>
      </c>
      <c r="B656" s="290"/>
      <c r="C656" s="83"/>
      <c r="D656" s="116"/>
      <c r="E656" s="116"/>
      <c r="F656" s="14">
        <f t="shared" ref="F656:S656" si="133">SUM(F652:F655)</f>
        <v>12183.1</v>
      </c>
      <c r="G656" s="14">
        <f t="shared" si="133"/>
        <v>10187.9</v>
      </c>
      <c r="H656" s="27">
        <f t="shared" si="133"/>
        <v>13847982.4</v>
      </c>
      <c r="I656" s="27">
        <f t="shared" si="133"/>
        <v>0</v>
      </c>
      <c r="J656" s="27">
        <f t="shared" si="133"/>
        <v>5923713.2400000002</v>
      </c>
      <c r="K656" s="27">
        <f t="shared" si="133"/>
        <v>7303626.1200000001</v>
      </c>
      <c r="L656" s="15">
        <f t="shared" si="133"/>
        <v>0</v>
      </c>
      <c r="M656" s="15">
        <f t="shared" si="133"/>
        <v>0</v>
      </c>
      <c r="N656" s="15">
        <f t="shared" si="133"/>
        <v>0</v>
      </c>
      <c r="O656" s="15">
        <f t="shared" si="133"/>
        <v>620643.04</v>
      </c>
      <c r="P656" s="15">
        <f t="shared" si="133"/>
        <v>0</v>
      </c>
      <c r="Q656" s="15">
        <f t="shared" si="133"/>
        <v>0</v>
      </c>
      <c r="R656" s="15">
        <f t="shared" si="133"/>
        <v>0</v>
      </c>
      <c r="S656" s="27">
        <f t="shared" si="133"/>
        <v>13847982.4</v>
      </c>
      <c r="T656" s="16" t="s">
        <v>31</v>
      </c>
      <c r="U656" s="16" t="s">
        <v>31</v>
      </c>
    </row>
    <row r="657" spans="1:21" ht="15.75">
      <c r="A657" s="298" t="s">
        <v>809</v>
      </c>
      <c r="B657" s="299"/>
      <c r="C657" s="299"/>
      <c r="D657" s="299"/>
      <c r="E657" s="299"/>
      <c r="F657" s="299"/>
      <c r="G657" s="299"/>
      <c r="H657" s="299"/>
      <c r="I657" s="299"/>
      <c r="J657" s="299"/>
      <c r="K657" s="299"/>
      <c r="L657" s="299"/>
      <c r="M657" s="299"/>
      <c r="N657" s="299"/>
      <c r="O657" s="299"/>
      <c r="P657" s="299"/>
      <c r="Q657" s="299"/>
      <c r="R657" s="299"/>
      <c r="S657" s="299"/>
      <c r="T657" s="299"/>
      <c r="U657" s="300"/>
    </row>
    <row r="658" spans="1:21" ht="15.75">
      <c r="A658" s="79">
        <f>A655+1</f>
        <v>230</v>
      </c>
      <c r="B658" s="254" t="s">
        <v>624</v>
      </c>
      <c r="C658" s="81">
        <v>1977</v>
      </c>
      <c r="D658" s="79"/>
      <c r="E658" s="79"/>
      <c r="F658" s="90">
        <v>3641</v>
      </c>
      <c r="G658" s="90">
        <v>3372</v>
      </c>
      <c r="H658" s="1">
        <f>I658+J658+K658+L658+M658+N658+O658</f>
        <v>9446902.6400000006</v>
      </c>
      <c r="I658" s="1">
        <v>0</v>
      </c>
      <c r="J658" s="1">
        <v>0</v>
      </c>
      <c r="K658" s="1">
        <f>ROUND(G658*2760.17*1.015,2)</f>
        <v>9446902.6400000006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3">
        <f>H658</f>
        <v>9446902.6400000006</v>
      </c>
      <c r="T658" s="79">
        <v>2021</v>
      </c>
      <c r="U658" s="79">
        <v>2021</v>
      </c>
    </row>
    <row r="659" spans="1:21" ht="15.75">
      <c r="A659" s="301" t="s">
        <v>383</v>
      </c>
      <c r="B659" s="303"/>
      <c r="C659" s="83"/>
      <c r="D659" s="116"/>
      <c r="E659" s="116"/>
      <c r="F659" s="14">
        <f t="shared" ref="F659:S659" si="134">SUM(F658:F658)</f>
        <v>3641</v>
      </c>
      <c r="G659" s="14">
        <f t="shared" si="134"/>
        <v>3372</v>
      </c>
      <c r="H659" s="27">
        <f t="shared" si="134"/>
        <v>9446902.6400000006</v>
      </c>
      <c r="I659" s="15">
        <f t="shared" si="134"/>
        <v>0</v>
      </c>
      <c r="J659" s="15">
        <f t="shared" si="134"/>
        <v>0</v>
      </c>
      <c r="K659" s="15">
        <f t="shared" si="134"/>
        <v>9446902.6400000006</v>
      </c>
      <c r="L659" s="15">
        <f t="shared" si="134"/>
        <v>0</v>
      </c>
      <c r="M659" s="15">
        <f t="shared" si="134"/>
        <v>0</v>
      </c>
      <c r="N659" s="15">
        <f t="shared" si="134"/>
        <v>0</v>
      </c>
      <c r="O659" s="15">
        <f t="shared" si="134"/>
        <v>0</v>
      </c>
      <c r="P659" s="15">
        <f t="shared" si="134"/>
        <v>0</v>
      </c>
      <c r="Q659" s="15">
        <f t="shared" si="134"/>
        <v>0</v>
      </c>
      <c r="R659" s="15">
        <f t="shared" si="134"/>
        <v>0</v>
      </c>
      <c r="S659" s="27">
        <f t="shared" si="134"/>
        <v>9446902.6400000006</v>
      </c>
      <c r="T659" s="16" t="s">
        <v>31</v>
      </c>
      <c r="U659" s="16" t="s">
        <v>31</v>
      </c>
    </row>
    <row r="660" spans="1:21" ht="15.75">
      <c r="A660" s="290" t="s">
        <v>1083</v>
      </c>
      <c r="B660" s="290"/>
      <c r="C660" s="83"/>
      <c r="D660" s="116"/>
      <c r="E660" s="116"/>
      <c r="F660" s="15">
        <f>F659+F638+F656+F650+F645+F641</f>
        <v>34639.53</v>
      </c>
      <c r="G660" s="15">
        <f>G659+G638+G656+G650+G645+G641</f>
        <v>30604.3</v>
      </c>
      <c r="H660" s="15">
        <f>H659+H638+H656+H650+H645+H641</f>
        <v>54779055.130000003</v>
      </c>
      <c r="I660" s="15">
        <f>I659+I638+I656+I650+I645+I641</f>
        <v>4572613.0199999996</v>
      </c>
      <c r="J660" s="15">
        <f>J659+I638+J656+J650+J645+J641+J638</f>
        <v>5923713.2400000002</v>
      </c>
      <c r="K660" s="15">
        <f t="shared" ref="K660:S660" si="135">K659+K638+K656+K650+K645+K641</f>
        <v>35208477.350000001</v>
      </c>
      <c r="L660" s="15">
        <f t="shared" si="135"/>
        <v>0</v>
      </c>
      <c r="M660" s="15">
        <f t="shared" si="135"/>
        <v>7761718.7999999998</v>
      </c>
      <c r="N660" s="15">
        <f t="shared" si="135"/>
        <v>0</v>
      </c>
      <c r="O660" s="15">
        <f t="shared" si="135"/>
        <v>1312532.72</v>
      </c>
      <c r="P660" s="15">
        <f t="shared" si="135"/>
        <v>0</v>
      </c>
      <c r="Q660" s="15">
        <f t="shared" si="135"/>
        <v>0</v>
      </c>
      <c r="R660" s="15">
        <f t="shared" si="135"/>
        <v>0</v>
      </c>
      <c r="S660" s="15">
        <f t="shared" si="135"/>
        <v>54779055.130000003</v>
      </c>
      <c r="T660" s="16" t="s">
        <v>31</v>
      </c>
      <c r="U660" s="16" t="s">
        <v>31</v>
      </c>
    </row>
    <row r="661" spans="1:21" ht="15.75">
      <c r="A661" s="289" t="s">
        <v>1059</v>
      </c>
      <c r="B661" s="289"/>
      <c r="C661" s="289"/>
      <c r="D661" s="289"/>
      <c r="E661" s="289"/>
      <c r="F661" s="289"/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</row>
    <row r="662" spans="1:21" ht="15.75">
      <c r="A662" s="289" t="s">
        <v>625</v>
      </c>
      <c r="B662" s="289"/>
      <c r="C662" s="289"/>
      <c r="D662" s="289"/>
      <c r="E662" s="289"/>
      <c r="F662" s="289"/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</row>
    <row r="663" spans="1:21" ht="15.75">
      <c r="A663" s="79">
        <f>A658+1</f>
        <v>231</v>
      </c>
      <c r="B663" s="255" t="s">
        <v>626</v>
      </c>
      <c r="C663" s="95">
        <v>1984</v>
      </c>
      <c r="D663" s="89"/>
      <c r="E663" s="89"/>
      <c r="F663" s="124">
        <v>4420.7</v>
      </c>
      <c r="G663" s="124">
        <v>3826.9</v>
      </c>
      <c r="H663" s="1">
        <f>I663+J663+K663+L663+M663+N663+O663</f>
        <v>6075603.3200000003</v>
      </c>
      <c r="I663" s="1">
        <v>0</v>
      </c>
      <c r="J663" s="1">
        <f>ROUND(2*3037801.66,2)-O663</f>
        <v>5923713.2400000002</v>
      </c>
      <c r="K663" s="1">
        <v>0</v>
      </c>
      <c r="L663" s="1">
        <v>0</v>
      </c>
      <c r="M663" s="1">
        <v>0</v>
      </c>
      <c r="N663" s="1">
        <v>0</v>
      </c>
      <c r="O663" s="1">
        <v>151890.07999999999</v>
      </c>
      <c r="P663" s="1">
        <v>0</v>
      </c>
      <c r="Q663" s="1">
        <v>0</v>
      </c>
      <c r="R663" s="1">
        <v>0</v>
      </c>
      <c r="S663" s="13">
        <f>H663</f>
        <v>6075603.3200000003</v>
      </c>
      <c r="T663" s="79">
        <v>2021</v>
      </c>
      <c r="U663" s="79">
        <v>2021</v>
      </c>
    </row>
    <row r="664" spans="1:21" ht="15.75">
      <c r="A664" s="290" t="s">
        <v>383</v>
      </c>
      <c r="B664" s="290"/>
      <c r="C664" s="81"/>
      <c r="D664" s="116"/>
      <c r="E664" s="116"/>
      <c r="F664" s="35">
        <f t="shared" ref="F664:S664" si="136">SUM(F663:F663)</f>
        <v>4420.7</v>
      </c>
      <c r="G664" s="35">
        <f t="shared" si="136"/>
        <v>3826.9</v>
      </c>
      <c r="H664" s="27">
        <f t="shared" si="136"/>
        <v>6075603.3200000003</v>
      </c>
      <c r="I664" s="15">
        <f t="shared" si="136"/>
        <v>0</v>
      </c>
      <c r="J664" s="15">
        <f t="shared" si="136"/>
        <v>5923713.2400000002</v>
      </c>
      <c r="K664" s="15">
        <f t="shared" si="136"/>
        <v>0</v>
      </c>
      <c r="L664" s="15">
        <f t="shared" si="136"/>
        <v>0</v>
      </c>
      <c r="M664" s="15">
        <f t="shared" si="136"/>
        <v>0</v>
      </c>
      <c r="N664" s="15">
        <f t="shared" si="136"/>
        <v>0</v>
      </c>
      <c r="O664" s="15">
        <f t="shared" si="136"/>
        <v>151890.07999999999</v>
      </c>
      <c r="P664" s="15">
        <f t="shared" si="136"/>
        <v>0</v>
      </c>
      <c r="Q664" s="15">
        <f t="shared" si="136"/>
        <v>0</v>
      </c>
      <c r="R664" s="15">
        <f t="shared" si="136"/>
        <v>0</v>
      </c>
      <c r="S664" s="27">
        <f t="shared" si="136"/>
        <v>6075603.3200000003</v>
      </c>
      <c r="T664" s="16" t="s">
        <v>31</v>
      </c>
      <c r="U664" s="16" t="s">
        <v>31</v>
      </c>
    </row>
    <row r="665" spans="1:21" ht="15.75">
      <c r="A665" s="289" t="s">
        <v>810</v>
      </c>
      <c r="B665" s="289"/>
      <c r="C665" s="289"/>
      <c r="D665" s="289"/>
      <c r="E665" s="289"/>
      <c r="F665" s="289"/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</row>
    <row r="666" spans="1:21" ht="15.75">
      <c r="A666" s="79">
        <f>A663+1</f>
        <v>232</v>
      </c>
      <c r="B666" s="255" t="s">
        <v>627</v>
      </c>
      <c r="C666" s="81">
        <v>1969</v>
      </c>
      <c r="D666" s="79"/>
      <c r="E666" s="79"/>
      <c r="F666" s="13">
        <v>3711.2</v>
      </c>
      <c r="G666" s="33">
        <v>3227</v>
      </c>
      <c r="H666" s="1">
        <f>I666+J666+K666+L666+M666+N666+O666</f>
        <v>4363761.8099999996</v>
      </c>
      <c r="I666" s="1">
        <f>ROUND((620.83+660.21)*G666*1.015,2)</f>
        <v>4195924.82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f>ROUND(I666*4%,2)</f>
        <v>167836.99</v>
      </c>
      <c r="P666" s="1">
        <v>0</v>
      </c>
      <c r="Q666" s="1">
        <v>0</v>
      </c>
      <c r="R666" s="1">
        <v>0</v>
      </c>
      <c r="S666" s="1">
        <f>H666</f>
        <v>4363761.8099999996</v>
      </c>
      <c r="T666" s="79">
        <v>2021</v>
      </c>
      <c r="U666" s="79">
        <v>2021</v>
      </c>
    </row>
    <row r="667" spans="1:21" ht="15.75">
      <c r="A667" s="290" t="s">
        <v>383</v>
      </c>
      <c r="B667" s="290"/>
      <c r="C667" s="81"/>
      <c r="D667" s="79"/>
      <c r="E667" s="79"/>
      <c r="F667" s="15">
        <f t="shared" ref="F667:S667" si="137">SUM(F666:F666)</f>
        <v>3711.2</v>
      </c>
      <c r="G667" s="14">
        <f t="shared" si="137"/>
        <v>3227</v>
      </c>
      <c r="H667" s="27">
        <f t="shared" si="137"/>
        <v>4363761.8099999996</v>
      </c>
      <c r="I667" s="27">
        <f t="shared" si="137"/>
        <v>4195924.82</v>
      </c>
      <c r="J667" s="15">
        <f t="shared" si="137"/>
        <v>0</v>
      </c>
      <c r="K667" s="15">
        <f t="shared" si="137"/>
        <v>0</v>
      </c>
      <c r="L667" s="15">
        <f t="shared" si="137"/>
        <v>0</v>
      </c>
      <c r="M667" s="15">
        <f t="shared" si="137"/>
        <v>0</v>
      </c>
      <c r="N667" s="15">
        <f t="shared" si="137"/>
        <v>0</v>
      </c>
      <c r="O667" s="15">
        <f t="shared" si="137"/>
        <v>167836.99</v>
      </c>
      <c r="P667" s="15">
        <f t="shared" si="137"/>
        <v>0</v>
      </c>
      <c r="Q667" s="15">
        <f t="shared" si="137"/>
        <v>0</v>
      </c>
      <c r="R667" s="15">
        <f t="shared" si="137"/>
        <v>0</v>
      </c>
      <c r="S667" s="27">
        <f t="shared" si="137"/>
        <v>4363761.8099999996</v>
      </c>
      <c r="T667" s="16" t="s">
        <v>31</v>
      </c>
      <c r="U667" s="16" t="s">
        <v>31</v>
      </c>
    </row>
    <row r="668" spans="1:21" ht="15.75">
      <c r="A668" s="290" t="s">
        <v>1084</v>
      </c>
      <c r="B668" s="290"/>
      <c r="C668" s="83"/>
      <c r="D668" s="116"/>
      <c r="E668" s="116"/>
      <c r="F668" s="27">
        <f t="shared" ref="F668:S668" si="138">F667+F664</f>
        <v>8131.9</v>
      </c>
      <c r="G668" s="27">
        <f t="shared" si="138"/>
        <v>7053.9</v>
      </c>
      <c r="H668" s="27">
        <f t="shared" si="138"/>
        <v>10439365.130000001</v>
      </c>
      <c r="I668" s="27">
        <f t="shared" si="138"/>
        <v>4195924.82</v>
      </c>
      <c r="J668" s="15">
        <f t="shared" si="138"/>
        <v>5923713.2400000002</v>
      </c>
      <c r="K668" s="15">
        <f t="shared" si="138"/>
        <v>0</v>
      </c>
      <c r="L668" s="15">
        <f t="shared" si="138"/>
        <v>0</v>
      </c>
      <c r="M668" s="15">
        <f t="shared" si="138"/>
        <v>0</v>
      </c>
      <c r="N668" s="15">
        <f t="shared" si="138"/>
        <v>0</v>
      </c>
      <c r="O668" s="15">
        <f t="shared" si="138"/>
        <v>319727.07</v>
      </c>
      <c r="P668" s="15">
        <f t="shared" si="138"/>
        <v>0</v>
      </c>
      <c r="Q668" s="15">
        <f t="shared" si="138"/>
        <v>0</v>
      </c>
      <c r="R668" s="15">
        <f t="shared" si="138"/>
        <v>0</v>
      </c>
      <c r="S668" s="27">
        <f t="shared" si="138"/>
        <v>10439365.130000001</v>
      </c>
      <c r="T668" s="16" t="s">
        <v>31</v>
      </c>
      <c r="U668" s="16" t="s">
        <v>31</v>
      </c>
    </row>
    <row r="669" spans="1:21" ht="15.75">
      <c r="A669" s="289" t="s">
        <v>628</v>
      </c>
      <c r="B669" s="289"/>
      <c r="C669" s="289"/>
      <c r="D669" s="289"/>
      <c r="E669" s="289"/>
      <c r="F669" s="289"/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</row>
    <row r="670" spans="1:21" ht="15.75">
      <c r="A670" s="79">
        <f>A666+1</f>
        <v>233</v>
      </c>
      <c r="B670" s="256" t="s">
        <v>629</v>
      </c>
      <c r="C670" s="81">
        <v>1959</v>
      </c>
      <c r="D670" s="79"/>
      <c r="E670" s="79"/>
      <c r="F670" s="12">
        <v>2691.5</v>
      </c>
      <c r="G670" s="12">
        <v>2386.8000000000002</v>
      </c>
      <c r="H670" s="1">
        <f t="shared" ref="H670:H678" si="139">I670+J670+K670+L670+M670+N670+O670</f>
        <v>2826239.71</v>
      </c>
      <c r="I670" s="1">
        <v>0</v>
      </c>
      <c r="J670" s="1">
        <v>0</v>
      </c>
      <c r="K670" s="1">
        <v>0</v>
      </c>
      <c r="L670" s="1">
        <v>0</v>
      </c>
      <c r="M670" s="1">
        <f>ROUND(1101.5*G670*1.015,2)</f>
        <v>2668496.1</v>
      </c>
      <c r="N670" s="1">
        <v>0</v>
      </c>
      <c r="O670" s="1">
        <v>157743.60999999999</v>
      </c>
      <c r="P670" s="1">
        <v>0</v>
      </c>
      <c r="Q670" s="1">
        <v>0</v>
      </c>
      <c r="R670" s="1">
        <v>0</v>
      </c>
      <c r="S670" s="13">
        <f t="shared" ref="S670:S678" si="140">H670</f>
        <v>2826239.71</v>
      </c>
      <c r="T670" s="79">
        <v>2021</v>
      </c>
      <c r="U670" s="79">
        <v>2021</v>
      </c>
    </row>
    <row r="671" spans="1:21" ht="15.75">
      <c r="A671" s="79">
        <f t="shared" ref="A671:A687" si="141">A670+1</f>
        <v>234</v>
      </c>
      <c r="B671" s="256" t="s">
        <v>630</v>
      </c>
      <c r="C671" s="81">
        <v>1965</v>
      </c>
      <c r="D671" s="79"/>
      <c r="E671" s="79"/>
      <c r="F671" s="12">
        <v>3741</v>
      </c>
      <c r="G671" s="12">
        <v>3492.9</v>
      </c>
      <c r="H671" s="1">
        <f t="shared" si="139"/>
        <v>9780153.1799999997</v>
      </c>
      <c r="I671" s="1">
        <v>0</v>
      </c>
      <c r="J671" s="1">
        <v>0</v>
      </c>
      <c r="K671" s="1">
        <f>ROUND(2604.66*G671*1.015,2)</f>
        <v>9234284.1699999999</v>
      </c>
      <c r="L671" s="1">
        <v>0</v>
      </c>
      <c r="M671" s="1">
        <v>0</v>
      </c>
      <c r="N671" s="1">
        <v>0</v>
      </c>
      <c r="O671" s="1">
        <v>545869.01</v>
      </c>
      <c r="P671" s="1">
        <v>0</v>
      </c>
      <c r="Q671" s="1">
        <v>0</v>
      </c>
      <c r="R671" s="1">
        <v>0</v>
      </c>
      <c r="S671" s="13">
        <f t="shared" si="140"/>
        <v>9780153.1799999997</v>
      </c>
      <c r="T671" s="79">
        <v>2021</v>
      </c>
      <c r="U671" s="79">
        <v>2021</v>
      </c>
    </row>
    <row r="672" spans="1:21" ht="15.75">
      <c r="A672" s="79">
        <f t="shared" si="141"/>
        <v>235</v>
      </c>
      <c r="B672" s="259" t="s">
        <v>631</v>
      </c>
      <c r="C672" s="81">
        <v>1966</v>
      </c>
      <c r="D672" s="79"/>
      <c r="E672" s="79"/>
      <c r="F672" s="12">
        <v>3227.6</v>
      </c>
      <c r="G672" s="12">
        <v>2570.4</v>
      </c>
      <c r="H672" s="1">
        <f t="shared" si="139"/>
        <v>1907478.42</v>
      </c>
      <c r="I672" s="1">
        <f>ROUND(690.32*G672*1.015,2)</f>
        <v>1801014.51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106463.91</v>
      </c>
      <c r="P672" s="1">
        <v>0</v>
      </c>
      <c r="Q672" s="1">
        <v>0</v>
      </c>
      <c r="R672" s="1">
        <v>0</v>
      </c>
      <c r="S672" s="13">
        <f t="shared" si="140"/>
        <v>1907478.42</v>
      </c>
      <c r="T672" s="79">
        <v>2021</v>
      </c>
      <c r="U672" s="79">
        <v>2021</v>
      </c>
    </row>
    <row r="673" spans="1:21" ht="15.75">
      <c r="A673" s="79">
        <f t="shared" si="141"/>
        <v>236</v>
      </c>
      <c r="B673" s="256" t="s">
        <v>632</v>
      </c>
      <c r="C673" s="81">
        <v>1964</v>
      </c>
      <c r="D673" s="79"/>
      <c r="E673" s="79"/>
      <c r="F673" s="12">
        <v>3093.1</v>
      </c>
      <c r="G673" s="12">
        <v>2627.1</v>
      </c>
      <c r="H673" s="1">
        <f t="shared" si="139"/>
        <v>1433586.14</v>
      </c>
      <c r="I673" s="1">
        <f>ROUND((214.38+293.24)*G673*1.015,2)</f>
        <v>1353572.03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80014.11</v>
      </c>
      <c r="P673" s="1">
        <v>0</v>
      </c>
      <c r="Q673" s="1">
        <v>0</v>
      </c>
      <c r="R673" s="1">
        <v>0</v>
      </c>
      <c r="S673" s="13">
        <f t="shared" si="140"/>
        <v>1433586.14</v>
      </c>
      <c r="T673" s="79">
        <v>2021</v>
      </c>
      <c r="U673" s="79">
        <v>2021</v>
      </c>
    </row>
    <row r="674" spans="1:21" ht="15.75">
      <c r="A674" s="79">
        <f t="shared" si="141"/>
        <v>237</v>
      </c>
      <c r="B674" s="256" t="s">
        <v>633</v>
      </c>
      <c r="C674" s="81">
        <v>1996</v>
      </c>
      <c r="D674" s="79"/>
      <c r="E674" s="79"/>
      <c r="F674" s="12">
        <v>3977.8</v>
      </c>
      <c r="G674" s="12">
        <v>3600.6</v>
      </c>
      <c r="H674" s="1">
        <f t="shared" si="139"/>
        <v>3437713.35</v>
      </c>
      <c r="I674" s="1">
        <f>ROUND((430.48+457.67)*G674*1.015,2)</f>
        <v>3245840.98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191872.37</v>
      </c>
      <c r="P674" s="1">
        <v>0</v>
      </c>
      <c r="Q674" s="1">
        <v>0</v>
      </c>
      <c r="R674" s="1">
        <v>0</v>
      </c>
      <c r="S674" s="13">
        <f t="shared" si="140"/>
        <v>3437713.35</v>
      </c>
      <c r="T674" s="79">
        <v>2021</v>
      </c>
      <c r="U674" s="79">
        <v>2021</v>
      </c>
    </row>
    <row r="675" spans="1:21" ht="15.75">
      <c r="A675" s="79">
        <f t="shared" si="141"/>
        <v>238</v>
      </c>
      <c r="B675" s="186" t="s">
        <v>634</v>
      </c>
      <c r="C675" s="81">
        <v>1949</v>
      </c>
      <c r="D675" s="79"/>
      <c r="E675" s="79"/>
      <c r="F675" s="33">
        <v>1587.4</v>
      </c>
      <c r="G675" s="33">
        <v>1376.6</v>
      </c>
      <c r="H675" s="1">
        <f t="shared" si="139"/>
        <v>18972255.760000002</v>
      </c>
      <c r="I675" s="1">
        <f>ROUND(3391.59*G675*1.015,2)</f>
        <v>4738895.74</v>
      </c>
      <c r="J675" s="1">
        <v>0</v>
      </c>
      <c r="K675" s="1">
        <f>ROUND(5781.6*G675*1.015,2)</f>
        <v>8078334.8200000003</v>
      </c>
      <c r="L675" s="1">
        <v>0</v>
      </c>
      <c r="M675" s="1">
        <f>ROUND(3636.52*G675*1.015,2)</f>
        <v>5081123.93</v>
      </c>
      <c r="N675" s="1">
        <v>0</v>
      </c>
      <c r="O675" s="1">
        <v>1073901.27</v>
      </c>
      <c r="P675" s="1">
        <v>0</v>
      </c>
      <c r="Q675" s="1">
        <v>0</v>
      </c>
      <c r="R675" s="1">
        <v>0</v>
      </c>
      <c r="S675" s="13">
        <f t="shared" si="140"/>
        <v>18972255.760000002</v>
      </c>
      <c r="T675" s="79">
        <v>2021</v>
      </c>
      <c r="U675" s="79">
        <v>2021</v>
      </c>
    </row>
    <row r="676" spans="1:21" ht="15.75">
      <c r="A676" s="79">
        <f t="shared" si="141"/>
        <v>239</v>
      </c>
      <c r="B676" s="186" t="s">
        <v>635</v>
      </c>
      <c r="C676" s="81">
        <v>1951</v>
      </c>
      <c r="D676" s="79"/>
      <c r="E676" s="79"/>
      <c r="F676" s="33">
        <v>1845.8</v>
      </c>
      <c r="G676" s="33">
        <v>1235.9000000000001</v>
      </c>
      <c r="H676" s="38">
        <f t="shared" si="139"/>
        <v>12523319.460000001</v>
      </c>
      <c r="I676" s="1">
        <v>0</v>
      </c>
      <c r="J676" s="1"/>
      <c r="K676" s="1">
        <f>ROUND(5781.6*G676*1.015,2)</f>
        <v>7252661.6299999999</v>
      </c>
      <c r="L676" s="1">
        <v>0</v>
      </c>
      <c r="M676" s="1">
        <f>ROUND(3636.52*G676*1.015,2)</f>
        <v>4561790.6900000004</v>
      </c>
      <c r="N676" s="1">
        <v>0</v>
      </c>
      <c r="O676" s="1">
        <v>708867.14</v>
      </c>
      <c r="P676" s="1">
        <v>0</v>
      </c>
      <c r="Q676" s="1">
        <v>0</v>
      </c>
      <c r="R676" s="1">
        <v>0</v>
      </c>
      <c r="S676" s="13">
        <f t="shared" si="140"/>
        <v>12523319.460000001</v>
      </c>
      <c r="T676" s="79">
        <v>2021</v>
      </c>
      <c r="U676" s="79">
        <v>2021</v>
      </c>
    </row>
    <row r="677" spans="1:21" ht="15.75">
      <c r="A677" s="79">
        <f t="shared" si="141"/>
        <v>240</v>
      </c>
      <c r="B677" s="186" t="s">
        <v>636</v>
      </c>
      <c r="C677" s="81">
        <v>1951</v>
      </c>
      <c r="D677" s="79"/>
      <c r="E677" s="79"/>
      <c r="F677" s="33">
        <v>1599.8</v>
      </c>
      <c r="G677" s="33">
        <v>1410.1</v>
      </c>
      <c r="H677" s="1">
        <f t="shared" si="139"/>
        <v>19473700.370000001</v>
      </c>
      <c r="I677" s="1">
        <f>ROUND((596.38+589.88)*G677*1.015,2)</f>
        <v>1697836.4</v>
      </c>
      <c r="J677" s="1">
        <v>0</v>
      </c>
      <c r="K677" s="1">
        <f>ROUND(7807.38*G677*1.015,2)</f>
        <v>11174324.34</v>
      </c>
      <c r="L677" s="1">
        <v>0</v>
      </c>
      <c r="M677" s="1">
        <f>ROUND(3842.27*G677*1.015,2)</f>
        <v>5499254.7000000002</v>
      </c>
      <c r="N677" s="1">
        <v>0</v>
      </c>
      <c r="O677" s="1">
        <v>1102284.93</v>
      </c>
      <c r="P677" s="1">
        <v>0</v>
      </c>
      <c r="Q677" s="1">
        <v>0</v>
      </c>
      <c r="R677" s="1">
        <v>0</v>
      </c>
      <c r="S677" s="13">
        <f t="shared" si="140"/>
        <v>19473700.370000001</v>
      </c>
      <c r="T677" s="79">
        <v>2021</v>
      </c>
      <c r="U677" s="79">
        <v>2021</v>
      </c>
    </row>
    <row r="678" spans="1:21" ht="15.75">
      <c r="A678" s="79">
        <f t="shared" si="141"/>
        <v>241</v>
      </c>
      <c r="B678" s="186" t="s">
        <v>637</v>
      </c>
      <c r="C678" s="81">
        <v>1966</v>
      </c>
      <c r="D678" s="116"/>
      <c r="E678" s="116"/>
      <c r="F678" s="33">
        <v>3490.1</v>
      </c>
      <c r="G678" s="33">
        <v>3187.7</v>
      </c>
      <c r="H678" s="1">
        <f t="shared" si="139"/>
        <v>13734247.9</v>
      </c>
      <c r="I678" s="1">
        <v>0</v>
      </c>
      <c r="J678" s="27">
        <v>0</v>
      </c>
      <c r="K678" s="1">
        <v>0</v>
      </c>
      <c r="L678" s="27">
        <v>0</v>
      </c>
      <c r="M678" s="1">
        <f>(10899346*1.15)+1200000</f>
        <v>13734247.9</v>
      </c>
      <c r="N678" s="27">
        <v>0</v>
      </c>
      <c r="O678" s="1">
        <v>0</v>
      </c>
      <c r="P678" s="27">
        <v>0</v>
      </c>
      <c r="Q678" s="27">
        <v>0</v>
      </c>
      <c r="R678" s="27">
        <v>0</v>
      </c>
      <c r="S678" s="1">
        <f t="shared" si="140"/>
        <v>13734247.9</v>
      </c>
      <c r="T678" s="79">
        <v>2020</v>
      </c>
      <c r="U678" s="79">
        <v>2021</v>
      </c>
    </row>
    <row r="679" spans="1:21" ht="15.75">
      <c r="A679" s="79">
        <f t="shared" si="141"/>
        <v>242</v>
      </c>
      <c r="B679" s="186" t="s">
        <v>638</v>
      </c>
      <c r="C679" s="81">
        <v>1978</v>
      </c>
      <c r="D679" s="116"/>
      <c r="E679" s="149"/>
      <c r="F679" s="92">
        <v>3167</v>
      </c>
      <c r="G679" s="33">
        <v>2935.3</v>
      </c>
      <c r="H679" s="1">
        <f>I679+O679</f>
        <v>1891921.83</v>
      </c>
      <c r="I679" s="1">
        <v>1778406.52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113515.31</v>
      </c>
      <c r="P679" s="38">
        <f>H679*0.71</f>
        <v>1343264.5</v>
      </c>
      <c r="Q679" s="1">
        <f>H679*0.29</f>
        <v>548657.32999999996</v>
      </c>
      <c r="R679" s="27">
        <v>0</v>
      </c>
      <c r="S679" s="27">
        <v>0</v>
      </c>
      <c r="T679" s="79">
        <v>2021</v>
      </c>
      <c r="U679" s="79">
        <v>2021</v>
      </c>
    </row>
    <row r="680" spans="1:21" ht="15.75">
      <c r="A680" s="79">
        <f t="shared" si="141"/>
        <v>243</v>
      </c>
      <c r="B680" s="186" t="s">
        <v>639</v>
      </c>
      <c r="C680" s="81">
        <v>1986</v>
      </c>
      <c r="D680" s="116"/>
      <c r="E680" s="149"/>
      <c r="F680" s="92">
        <v>3370</v>
      </c>
      <c r="G680" s="33">
        <v>3408.5</v>
      </c>
      <c r="H680" s="1">
        <f>I680+O680+K680</f>
        <v>14185624.119999999</v>
      </c>
      <c r="I680" s="1">
        <v>2065125.7</v>
      </c>
      <c r="J680" s="1">
        <v>0</v>
      </c>
      <c r="K680" s="1">
        <v>11269360.970000001</v>
      </c>
      <c r="L680" s="1">
        <v>0</v>
      </c>
      <c r="M680" s="1">
        <v>0</v>
      </c>
      <c r="N680" s="1">
        <v>0</v>
      </c>
      <c r="O680" s="1">
        <v>851137.45</v>
      </c>
      <c r="P680" s="38">
        <f>H680*0.71</f>
        <v>10071793.130000001</v>
      </c>
      <c r="Q680" s="1">
        <f>H680*0.29</f>
        <v>4113830.99</v>
      </c>
      <c r="R680" s="27">
        <v>0</v>
      </c>
      <c r="S680" s="27">
        <v>0</v>
      </c>
      <c r="T680" s="79">
        <v>2021</v>
      </c>
      <c r="U680" s="79">
        <v>2021</v>
      </c>
    </row>
    <row r="681" spans="1:21" ht="15.75">
      <c r="A681" s="79">
        <f t="shared" si="141"/>
        <v>244</v>
      </c>
      <c r="B681" s="186" t="s">
        <v>640</v>
      </c>
      <c r="C681" s="81">
        <v>1968</v>
      </c>
      <c r="D681" s="116"/>
      <c r="E681" s="149"/>
      <c r="F681" s="92">
        <v>1803</v>
      </c>
      <c r="G681" s="33">
        <v>1880</v>
      </c>
      <c r="H681" s="1">
        <f t="shared" ref="H681:H687" si="142">SUM(I681:O681)</f>
        <v>12974313.09</v>
      </c>
      <c r="I681" s="1">
        <v>0</v>
      </c>
      <c r="J681" s="1">
        <v>0</v>
      </c>
      <c r="K681" s="1">
        <v>6392174.7999999998</v>
      </c>
      <c r="L681" s="1">
        <v>0</v>
      </c>
      <c r="M681" s="1">
        <v>5803679.5</v>
      </c>
      <c r="N681" s="1">
        <v>0</v>
      </c>
      <c r="O681" s="1">
        <v>778458.79</v>
      </c>
      <c r="P681" s="38">
        <f>H681*0.71</f>
        <v>9211762.2899999991</v>
      </c>
      <c r="Q681" s="1">
        <f>H681*0.29</f>
        <v>3762550.8</v>
      </c>
      <c r="R681" s="27">
        <v>0</v>
      </c>
      <c r="S681" s="27">
        <v>0</v>
      </c>
      <c r="T681" s="79">
        <v>2021</v>
      </c>
      <c r="U681" s="79">
        <v>2021</v>
      </c>
    </row>
    <row r="682" spans="1:21" ht="15.75">
      <c r="A682" s="79">
        <f t="shared" si="141"/>
        <v>245</v>
      </c>
      <c r="B682" s="186" t="s">
        <v>641</v>
      </c>
      <c r="C682" s="81">
        <v>1972</v>
      </c>
      <c r="D682" s="116"/>
      <c r="E682" s="149"/>
      <c r="F682" s="92">
        <v>1803</v>
      </c>
      <c r="G682" s="33">
        <v>1742.5</v>
      </c>
      <c r="H682" s="1">
        <f t="shared" si="142"/>
        <v>12025400.189999999</v>
      </c>
      <c r="I682" s="1">
        <v>0</v>
      </c>
      <c r="J682" s="1">
        <v>0</v>
      </c>
      <c r="K682" s="1">
        <v>5924665.1100000003</v>
      </c>
      <c r="L682" s="1">
        <v>0</v>
      </c>
      <c r="M682" s="1">
        <v>5379211.0700000003</v>
      </c>
      <c r="N682" s="1">
        <v>0</v>
      </c>
      <c r="O682" s="1">
        <v>721524.01</v>
      </c>
      <c r="P682" s="38">
        <f>H682*0.71</f>
        <v>8538034.1300000008</v>
      </c>
      <c r="Q682" s="1">
        <f>H682*0.29</f>
        <v>3487366.06</v>
      </c>
      <c r="R682" s="27">
        <v>0</v>
      </c>
      <c r="S682" s="27">
        <v>0</v>
      </c>
      <c r="T682" s="79">
        <v>2021</v>
      </c>
      <c r="U682" s="79">
        <v>2021</v>
      </c>
    </row>
    <row r="683" spans="1:21" ht="15.75">
      <c r="A683" s="79">
        <f t="shared" si="141"/>
        <v>246</v>
      </c>
      <c r="B683" s="186" t="s">
        <v>642</v>
      </c>
      <c r="C683" s="81">
        <v>1988</v>
      </c>
      <c r="D683" s="116"/>
      <c r="E683" s="149"/>
      <c r="F683" s="92">
        <v>3557.2</v>
      </c>
      <c r="G683" s="48">
        <v>3200.1</v>
      </c>
      <c r="H683" s="1">
        <f t="shared" si="142"/>
        <v>11255768.01</v>
      </c>
      <c r="I683" s="1">
        <v>0</v>
      </c>
      <c r="J683" s="1">
        <v>0</v>
      </c>
      <c r="K683" s="1">
        <v>10580421.93</v>
      </c>
      <c r="L683" s="1">
        <v>0</v>
      </c>
      <c r="M683" s="1">
        <v>0</v>
      </c>
      <c r="N683" s="1">
        <v>0</v>
      </c>
      <c r="O683" s="1">
        <v>675346.08</v>
      </c>
      <c r="P683" s="38">
        <f>H683*0.71</f>
        <v>7991595.29</v>
      </c>
      <c r="Q683" s="1">
        <f>H683*0.29</f>
        <v>3264172.72</v>
      </c>
      <c r="R683" s="27">
        <v>0</v>
      </c>
      <c r="S683" s="27">
        <v>0</v>
      </c>
      <c r="T683" s="79">
        <v>2021</v>
      </c>
      <c r="U683" s="79">
        <v>2021</v>
      </c>
    </row>
    <row r="684" spans="1:21" ht="15.75">
      <c r="A684" s="79">
        <f t="shared" si="141"/>
        <v>247</v>
      </c>
      <c r="B684" s="186" t="s">
        <v>643</v>
      </c>
      <c r="C684" s="81">
        <v>1969</v>
      </c>
      <c r="D684" s="116"/>
      <c r="E684" s="149"/>
      <c r="F684" s="92">
        <v>3329.3</v>
      </c>
      <c r="G684" s="48">
        <v>2939.3</v>
      </c>
      <c r="H684" s="1">
        <f t="shared" si="142"/>
        <v>10517475.890000001</v>
      </c>
      <c r="I684" s="1">
        <v>0</v>
      </c>
      <c r="J684" s="1">
        <v>0</v>
      </c>
      <c r="K684" s="1">
        <f>ROUND(G684*3517.3*1.015,2)</f>
        <v>10493475.890000001</v>
      </c>
      <c r="L684" s="1">
        <v>0</v>
      </c>
      <c r="M684" s="1">
        <v>0</v>
      </c>
      <c r="N684" s="1">
        <v>0</v>
      </c>
      <c r="O684" s="1">
        <v>24000</v>
      </c>
      <c r="P684" s="38">
        <f>ROUND(H684*0.71,2)</f>
        <v>7467407.8799999999</v>
      </c>
      <c r="Q684" s="1">
        <f>ROUND(H684*0.29,2)</f>
        <v>3050068.01</v>
      </c>
      <c r="R684" s="27">
        <v>0</v>
      </c>
      <c r="S684" s="1">
        <v>0</v>
      </c>
      <c r="T684" s="79">
        <v>2021</v>
      </c>
      <c r="U684" s="79">
        <v>2021</v>
      </c>
    </row>
    <row r="685" spans="1:21" ht="15.75">
      <c r="A685" s="79">
        <f t="shared" si="141"/>
        <v>248</v>
      </c>
      <c r="B685" s="186" t="s">
        <v>644</v>
      </c>
      <c r="C685" s="81">
        <v>1985</v>
      </c>
      <c r="D685" s="116"/>
      <c r="E685" s="149"/>
      <c r="F685" s="92">
        <v>3727</v>
      </c>
      <c r="G685" s="48">
        <v>3308.3</v>
      </c>
      <c r="H685" s="1">
        <f t="shared" si="142"/>
        <v>11834827.84</v>
      </c>
      <c r="I685" s="1">
        <v>0</v>
      </c>
      <c r="J685" s="1">
        <v>0</v>
      </c>
      <c r="K685" s="1">
        <f>ROUND(G685*3517.3*1.015,2)</f>
        <v>11810827.84</v>
      </c>
      <c r="L685" s="1">
        <v>0</v>
      </c>
      <c r="M685" s="1">
        <v>0</v>
      </c>
      <c r="N685" s="1">
        <v>0</v>
      </c>
      <c r="O685" s="1">
        <v>24000</v>
      </c>
      <c r="P685" s="38">
        <f>ROUND(H685*0.71,2)</f>
        <v>8402727.7699999996</v>
      </c>
      <c r="Q685" s="1">
        <f>ROUND(H685*0.29,2)</f>
        <v>3432100.07</v>
      </c>
      <c r="R685" s="27">
        <v>0</v>
      </c>
      <c r="S685" s="1">
        <v>0</v>
      </c>
      <c r="T685" s="79">
        <v>2021</v>
      </c>
      <c r="U685" s="79">
        <v>2021</v>
      </c>
    </row>
    <row r="686" spans="1:21" ht="15.75">
      <c r="A686" s="79">
        <f t="shared" si="141"/>
        <v>249</v>
      </c>
      <c r="B686" s="186" t="s">
        <v>645</v>
      </c>
      <c r="C686" s="81">
        <v>1981</v>
      </c>
      <c r="D686" s="116"/>
      <c r="E686" s="149"/>
      <c r="F686" s="92">
        <v>4035.9</v>
      </c>
      <c r="G686" s="48">
        <v>3539.6</v>
      </c>
      <c r="H686" s="1">
        <f t="shared" si="142"/>
        <v>12660582.609999999</v>
      </c>
      <c r="I686" s="1">
        <v>0</v>
      </c>
      <c r="J686" s="1">
        <v>0</v>
      </c>
      <c r="K686" s="1">
        <f>ROUND(G686*3517.3*1.015,2)</f>
        <v>12636582.609999999</v>
      </c>
      <c r="L686" s="1">
        <v>0</v>
      </c>
      <c r="M686" s="1">
        <v>0</v>
      </c>
      <c r="N686" s="1">
        <v>0</v>
      </c>
      <c r="O686" s="1">
        <v>24000</v>
      </c>
      <c r="P686" s="38">
        <f>ROUND(H686*0.71,2)</f>
        <v>8989013.6500000004</v>
      </c>
      <c r="Q686" s="1">
        <f>ROUND(H686*0.29,2)</f>
        <v>3671568.96</v>
      </c>
      <c r="R686" s="27">
        <v>0</v>
      </c>
      <c r="S686" s="1">
        <v>0</v>
      </c>
      <c r="T686" s="79">
        <v>2021</v>
      </c>
      <c r="U686" s="79">
        <v>2021</v>
      </c>
    </row>
    <row r="687" spans="1:21" ht="15.75">
      <c r="A687" s="79">
        <f t="shared" si="141"/>
        <v>250</v>
      </c>
      <c r="B687" s="186" t="s">
        <v>646</v>
      </c>
      <c r="C687" s="81">
        <v>1991</v>
      </c>
      <c r="D687" s="116"/>
      <c r="E687" s="149"/>
      <c r="F687" s="92">
        <v>4353</v>
      </c>
      <c r="G687" s="48">
        <v>3939.3</v>
      </c>
      <c r="H687" s="1">
        <f t="shared" si="142"/>
        <v>14087535.390000001</v>
      </c>
      <c r="I687" s="1">
        <v>0</v>
      </c>
      <c r="J687" s="1">
        <v>0</v>
      </c>
      <c r="K687" s="1">
        <f>ROUND(G687*3517.3*1.015,2)</f>
        <v>14063535.390000001</v>
      </c>
      <c r="L687" s="1">
        <v>0</v>
      </c>
      <c r="M687" s="1">
        <v>0</v>
      </c>
      <c r="N687" s="1">
        <v>0</v>
      </c>
      <c r="O687" s="1">
        <v>24000</v>
      </c>
      <c r="P687" s="38">
        <f>ROUND(H687*0.71,2)</f>
        <v>10002150.130000001</v>
      </c>
      <c r="Q687" s="1">
        <f>ROUND(H687*0.29,2)</f>
        <v>4085385.26</v>
      </c>
      <c r="R687" s="27">
        <v>0</v>
      </c>
      <c r="S687" s="1">
        <v>0</v>
      </c>
      <c r="T687" s="79">
        <v>2021</v>
      </c>
      <c r="U687" s="79">
        <v>2021</v>
      </c>
    </row>
    <row r="688" spans="1:21" ht="15.75">
      <c r="A688" s="290" t="s">
        <v>1085</v>
      </c>
      <c r="B688" s="290"/>
      <c r="C688" s="83"/>
      <c r="D688" s="116"/>
      <c r="E688" s="116"/>
      <c r="F688" s="27">
        <f t="shared" ref="F688:S688" si="143">SUM(F670:F687)</f>
        <v>54399.5</v>
      </c>
      <c r="G688" s="27">
        <f t="shared" si="143"/>
        <v>48781</v>
      </c>
      <c r="H688" s="27">
        <f t="shared" si="143"/>
        <v>185522143.25999999</v>
      </c>
      <c r="I688" s="27">
        <f t="shared" si="143"/>
        <v>16680691.880000001</v>
      </c>
      <c r="J688" s="15">
        <f t="shared" si="143"/>
        <v>0</v>
      </c>
      <c r="K688" s="15">
        <f t="shared" si="143"/>
        <v>118910649.5</v>
      </c>
      <c r="L688" s="15">
        <f t="shared" si="143"/>
        <v>0</v>
      </c>
      <c r="M688" s="15">
        <f t="shared" si="143"/>
        <v>42727803.890000001</v>
      </c>
      <c r="N688" s="15">
        <f t="shared" si="143"/>
        <v>0</v>
      </c>
      <c r="O688" s="15">
        <f t="shared" si="143"/>
        <v>7202997.9900000002</v>
      </c>
      <c r="P688" s="15">
        <f t="shared" si="143"/>
        <v>72017748.769999996</v>
      </c>
      <c r="Q688" s="15">
        <f t="shared" si="143"/>
        <v>29415700.199999999</v>
      </c>
      <c r="R688" s="15">
        <f t="shared" si="143"/>
        <v>0</v>
      </c>
      <c r="S688" s="27">
        <f t="shared" si="143"/>
        <v>84088694.290000007</v>
      </c>
      <c r="T688" s="16" t="s">
        <v>31</v>
      </c>
      <c r="U688" s="16" t="s">
        <v>31</v>
      </c>
    </row>
    <row r="689" spans="1:22" ht="15.75">
      <c r="A689" s="289" t="s">
        <v>1060</v>
      </c>
      <c r="B689" s="289"/>
      <c r="C689" s="289"/>
      <c r="D689" s="289"/>
      <c r="E689" s="289"/>
      <c r="F689" s="289"/>
      <c r="G689" s="289"/>
      <c r="H689" s="289"/>
      <c r="I689" s="289"/>
      <c r="J689" s="289"/>
      <c r="K689" s="289"/>
      <c r="L689" s="289"/>
      <c r="M689" s="289"/>
      <c r="N689" s="289"/>
      <c r="O689" s="289"/>
      <c r="P689" s="289"/>
      <c r="Q689" s="289"/>
      <c r="R689" s="289"/>
      <c r="S689" s="289"/>
      <c r="T689" s="289"/>
      <c r="U689" s="289"/>
    </row>
    <row r="690" spans="1:22" ht="15.75">
      <c r="A690" s="289" t="s">
        <v>661</v>
      </c>
      <c r="B690" s="289"/>
      <c r="C690" s="289"/>
      <c r="D690" s="289"/>
      <c r="E690" s="289"/>
      <c r="F690" s="289"/>
      <c r="G690" s="289"/>
      <c r="H690" s="289"/>
      <c r="I690" s="289"/>
      <c r="J690" s="289"/>
      <c r="K690" s="289"/>
      <c r="L690" s="289"/>
      <c r="M690" s="289"/>
      <c r="N690" s="289"/>
      <c r="O690" s="289"/>
      <c r="P690" s="289"/>
      <c r="Q690" s="289"/>
      <c r="R690" s="289"/>
      <c r="S690" s="289"/>
      <c r="T690" s="289"/>
      <c r="U690" s="289"/>
    </row>
    <row r="691" spans="1:22" ht="15.75">
      <c r="A691" s="79">
        <f>A687+1</f>
        <v>251</v>
      </c>
      <c r="B691" s="264" t="s">
        <v>664</v>
      </c>
      <c r="C691" s="81">
        <v>1987</v>
      </c>
      <c r="D691" s="79"/>
      <c r="E691" s="79"/>
      <c r="F691" s="90">
        <v>848.6</v>
      </c>
      <c r="G691" s="90">
        <v>755.9</v>
      </c>
      <c r="H691" s="1">
        <f>I691+J691+K691+L691+M691+N691+O691</f>
        <v>16381.49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08">
        <v>16381.49</v>
      </c>
      <c r="P691" s="1">
        <v>0</v>
      </c>
      <c r="Q691" s="1">
        <v>0</v>
      </c>
      <c r="R691" s="1">
        <v>0</v>
      </c>
      <c r="S691" s="13">
        <f>H691</f>
        <v>16381.49</v>
      </c>
      <c r="T691" s="79">
        <v>2021</v>
      </c>
      <c r="U691" s="79">
        <v>2022</v>
      </c>
    </row>
    <row r="692" spans="1:22" ht="15.75">
      <c r="A692" s="79">
        <f>A691+1</f>
        <v>252</v>
      </c>
      <c r="B692" s="186" t="s">
        <v>662</v>
      </c>
      <c r="C692" s="81">
        <v>1985</v>
      </c>
      <c r="D692" s="79"/>
      <c r="E692" s="79"/>
      <c r="F692" s="90">
        <v>1532.5</v>
      </c>
      <c r="G692" s="90">
        <v>1336.4</v>
      </c>
      <c r="H692" s="1">
        <f>I692+J692+K692+L692+M692+N692+O692</f>
        <v>1621073.74</v>
      </c>
      <c r="I692" s="1">
        <v>0</v>
      </c>
      <c r="J692" s="1">
        <v>0</v>
      </c>
      <c r="K692" s="1">
        <f>ROUND(1151.66*G692*1.015,2)</f>
        <v>1562164.6</v>
      </c>
      <c r="L692" s="1">
        <v>0</v>
      </c>
      <c r="M692" s="1">
        <v>0</v>
      </c>
      <c r="N692" s="1">
        <v>0</v>
      </c>
      <c r="O692" s="1">
        <v>58909.14</v>
      </c>
      <c r="P692" s="1">
        <v>0</v>
      </c>
      <c r="Q692" s="1">
        <v>0</v>
      </c>
      <c r="R692" s="1">
        <v>0</v>
      </c>
      <c r="S692" s="13">
        <f>H692</f>
        <v>1621073.74</v>
      </c>
      <c r="T692" s="79">
        <v>2021</v>
      </c>
      <c r="U692" s="34">
        <v>2021</v>
      </c>
    </row>
    <row r="693" spans="1:22" ht="15.75">
      <c r="A693" s="79">
        <f>A692+1</f>
        <v>253</v>
      </c>
      <c r="B693" s="264" t="s">
        <v>663</v>
      </c>
      <c r="C693" s="81">
        <v>1957</v>
      </c>
      <c r="D693" s="79"/>
      <c r="E693" s="79"/>
      <c r="F693" s="90">
        <v>535.6</v>
      </c>
      <c r="G693" s="90">
        <v>487.2</v>
      </c>
      <c r="H693" s="1">
        <f>I693+J693+K693+L693+M693+N693+O693</f>
        <v>97642.26</v>
      </c>
      <c r="I693" s="1">
        <v>0</v>
      </c>
      <c r="J693" s="1">
        <v>0</v>
      </c>
      <c r="K693" s="1">
        <v>0</v>
      </c>
      <c r="L693" s="1">
        <v>0</v>
      </c>
      <c r="M693" s="1">
        <v>0</v>
      </c>
      <c r="N693" s="1">
        <v>0</v>
      </c>
      <c r="O693" s="108">
        <v>97642.26</v>
      </c>
      <c r="P693" s="1">
        <v>0</v>
      </c>
      <c r="Q693" s="1">
        <v>0</v>
      </c>
      <c r="R693" s="1">
        <v>0</v>
      </c>
      <c r="S693" s="13">
        <f>H693</f>
        <v>97642.26</v>
      </c>
      <c r="T693" s="79">
        <v>2021</v>
      </c>
      <c r="U693" s="79">
        <v>2021</v>
      </c>
    </row>
    <row r="694" spans="1:22" ht="15.75">
      <c r="A694" s="79">
        <f>A693+1</f>
        <v>254</v>
      </c>
      <c r="B694" s="264" t="s">
        <v>665</v>
      </c>
      <c r="C694" s="81">
        <v>1990</v>
      </c>
      <c r="D694" s="79"/>
      <c r="E694" s="79"/>
      <c r="F694" s="90">
        <v>4669.3</v>
      </c>
      <c r="G694" s="90">
        <f>3456.9+771.9-35.3</f>
        <v>4193.5</v>
      </c>
      <c r="H694" s="1">
        <f>I694+J694+K694+L694+M694+N694+O694</f>
        <v>11405103.67</v>
      </c>
      <c r="I694" s="1">
        <v>0</v>
      </c>
      <c r="J694" s="1">
        <v>0</v>
      </c>
      <c r="K694" s="1">
        <f>ROUND(2604.66*G694*1.015,2)</f>
        <v>11086481.34</v>
      </c>
      <c r="L694" s="1">
        <v>0</v>
      </c>
      <c r="M694" s="1">
        <v>0</v>
      </c>
      <c r="N694" s="1">
        <v>0</v>
      </c>
      <c r="O694" s="108">
        <v>318622.33</v>
      </c>
      <c r="P694" s="1">
        <v>0</v>
      </c>
      <c r="Q694" s="1">
        <v>0</v>
      </c>
      <c r="R694" s="1">
        <v>0</v>
      </c>
      <c r="S694" s="13">
        <f>H694</f>
        <v>11405103.67</v>
      </c>
      <c r="T694" s="79">
        <v>2021</v>
      </c>
      <c r="U694" s="79">
        <v>2021</v>
      </c>
    </row>
    <row r="695" spans="1:22" ht="15.75">
      <c r="A695" s="290" t="s">
        <v>383</v>
      </c>
      <c r="B695" s="290"/>
      <c r="C695" s="83"/>
      <c r="D695" s="116"/>
      <c r="E695" s="116"/>
      <c r="F695" s="14">
        <f t="shared" ref="F695:S695" si="144">SUM(F691:F694)</f>
        <v>7586</v>
      </c>
      <c r="G695" s="14">
        <f t="shared" si="144"/>
        <v>6773</v>
      </c>
      <c r="H695" s="27">
        <f t="shared" si="144"/>
        <v>13140201.16</v>
      </c>
      <c r="I695" s="15">
        <f t="shared" si="144"/>
        <v>0</v>
      </c>
      <c r="J695" s="15">
        <f t="shared" si="144"/>
        <v>0</v>
      </c>
      <c r="K695" s="27">
        <f t="shared" si="144"/>
        <v>12648645.939999999</v>
      </c>
      <c r="L695" s="15">
        <f t="shared" si="144"/>
        <v>0</v>
      </c>
      <c r="M695" s="15">
        <f t="shared" si="144"/>
        <v>0</v>
      </c>
      <c r="N695" s="15">
        <f t="shared" si="144"/>
        <v>0</v>
      </c>
      <c r="O695" s="27">
        <f t="shared" si="144"/>
        <v>491555.22</v>
      </c>
      <c r="P695" s="15">
        <f t="shared" si="144"/>
        <v>0</v>
      </c>
      <c r="Q695" s="15">
        <f t="shared" si="144"/>
        <v>0</v>
      </c>
      <c r="R695" s="15">
        <f t="shared" si="144"/>
        <v>0</v>
      </c>
      <c r="S695" s="27">
        <f t="shared" si="144"/>
        <v>13140201.16</v>
      </c>
      <c r="T695" s="16" t="s">
        <v>31</v>
      </c>
      <c r="U695" s="16" t="s">
        <v>31</v>
      </c>
    </row>
    <row r="696" spans="1:22" ht="15.75">
      <c r="A696" s="298"/>
      <c r="B696" s="299"/>
      <c r="C696" s="299"/>
      <c r="D696" s="299"/>
      <c r="E696" s="299"/>
      <c r="F696" s="299"/>
      <c r="G696" s="299"/>
      <c r="H696" s="299"/>
      <c r="I696" s="299"/>
      <c r="J696" s="299"/>
      <c r="K696" s="299"/>
      <c r="L696" s="299"/>
      <c r="M696" s="299"/>
      <c r="N696" s="299"/>
      <c r="O696" s="299"/>
      <c r="P696" s="299"/>
      <c r="Q696" s="299"/>
      <c r="R696" s="299"/>
      <c r="S696" s="299"/>
      <c r="T696" s="299"/>
      <c r="U696" s="300"/>
    </row>
    <row r="697" spans="1:22" ht="18.75">
      <c r="A697" s="307" t="s">
        <v>666</v>
      </c>
      <c r="B697" s="307"/>
      <c r="C697" s="87"/>
      <c r="D697" s="88"/>
      <c r="E697" s="88"/>
      <c r="F697" s="14">
        <f>F729+F744+F759+F976+F1010+F1017+F1043+F1058+F1061+F1084+F1090+F1109+F1177+F1187+F1154+F1146+F709</f>
        <v>1627585.7</v>
      </c>
      <c r="G697" s="14">
        <f>G729+G744+G759+G976+G1010+G1017+G1043+G1058+G1061+G1084+G1090+G1109+G1177+G1186+G1154++G709+G1146</f>
        <v>1515158.2</v>
      </c>
      <c r="H697" s="15">
        <f>H729+H744+H759+H976+H1010+H1017+H1043+H1058+H1061+H1084+H1090+H1109+H1177+H1186+H1154+H709+H1146</f>
        <v>3698689622.0900002</v>
      </c>
      <c r="I697" s="15">
        <f>I709+I729+I744+I759+I976+I1010+I1017+I1043+I1058+I1061+I1084+I1090+I1109+I1146+I1154+I1177+I1187</f>
        <v>886083523.29999995</v>
      </c>
      <c r="J697" s="15">
        <f>J729+J744+J759+J976+J1010+J1017+J1043+J1058+J1061+J1084+J1090+J1109+J1177+J1186+J1154+J709+J1146</f>
        <v>234230935.63</v>
      </c>
      <c r="K697" s="15">
        <f>K729+K744+K759+K976+K1010+K1017+K1043+K1058+K1061+K1084+K1090+K1109+K1177+K1186+K1154+K709+K1146</f>
        <v>1765506271.3399999</v>
      </c>
      <c r="L697" s="15">
        <f>L729+L744+L759+L976+L1010+L1017+L1043+L1058+L1061+L1084+L1090+L1109+L1177+L1186+L1154+L709+L1146</f>
        <v>12495892.58</v>
      </c>
      <c r="M697" s="15">
        <f>M729+M744+M759+M976+M1010+M1017+M1043+M1058+M1061+M1084+M1090+M1109+M1177+M1186+M1154+M709+M1146</f>
        <v>605563790.08000004</v>
      </c>
      <c r="N697" s="15">
        <f t="shared" ref="N697:S697" si="145">N709+N729+N744+N759+N976+N1010+N1017+N1043+N1058+N1061+N1084+N1090+N1109+N1146+N1154+N1177+N1187</f>
        <v>27604693.329999998</v>
      </c>
      <c r="O697" s="15">
        <f t="shared" si="145"/>
        <v>167204515.83000001</v>
      </c>
      <c r="P697" s="15">
        <f t="shared" si="145"/>
        <v>0</v>
      </c>
      <c r="Q697" s="173">
        <f t="shared" si="145"/>
        <v>1344486370.71</v>
      </c>
      <c r="R697" s="15">
        <f t="shared" si="145"/>
        <v>4782382.13</v>
      </c>
      <c r="S697" s="15">
        <f t="shared" si="145"/>
        <v>2351150221.4400001</v>
      </c>
      <c r="T697" s="16" t="s">
        <v>31</v>
      </c>
      <c r="U697" s="16" t="s">
        <v>31</v>
      </c>
    </row>
    <row r="698" spans="1:22" ht="17.25" customHeight="1">
      <c r="A698" s="304" t="s">
        <v>373</v>
      </c>
      <c r="B698" s="305"/>
      <c r="C698" s="305"/>
      <c r="D698" s="305"/>
      <c r="E698" s="305"/>
      <c r="F698" s="305"/>
      <c r="G698" s="305"/>
      <c r="H698" s="305"/>
      <c r="I698" s="305"/>
      <c r="J698" s="305"/>
      <c r="K698" s="305"/>
      <c r="L698" s="305"/>
      <c r="M698" s="305"/>
      <c r="N698" s="305"/>
      <c r="O698" s="305"/>
      <c r="P698" s="305"/>
      <c r="Q698" s="305"/>
      <c r="R698" s="305"/>
      <c r="S698" s="305"/>
      <c r="T698" s="305"/>
      <c r="U698" s="306"/>
    </row>
    <row r="699" spans="1:22" ht="17.25" customHeight="1">
      <c r="A699" s="79">
        <f>1</f>
        <v>1</v>
      </c>
      <c r="B699" s="264" t="s">
        <v>860</v>
      </c>
      <c r="C699" s="81">
        <v>1980</v>
      </c>
      <c r="D699" s="150"/>
      <c r="E699" s="150"/>
      <c r="F699" s="92">
        <v>3467.5</v>
      </c>
      <c r="G699" s="92">
        <v>2082.1</v>
      </c>
      <c r="H699" s="1">
        <f t="shared" ref="H699:H708" si="146">SUM(I699:O699)</f>
        <v>2869264.4</v>
      </c>
      <c r="I699" s="1">
        <v>2706853.21</v>
      </c>
      <c r="J699" s="1">
        <v>0</v>
      </c>
      <c r="K699" s="1">
        <v>0</v>
      </c>
      <c r="L699" s="1">
        <v>0</v>
      </c>
      <c r="M699" s="1"/>
      <c r="N699" s="1">
        <v>0</v>
      </c>
      <c r="O699" s="1">
        <v>162411.19</v>
      </c>
      <c r="P699" s="1">
        <v>0</v>
      </c>
      <c r="Q699" s="1">
        <f t="shared" ref="Q699:Q708" si="147">H699</f>
        <v>2869264.4</v>
      </c>
      <c r="R699" s="1">
        <v>0</v>
      </c>
      <c r="S699" s="1">
        <v>0</v>
      </c>
      <c r="T699" s="79">
        <v>2022</v>
      </c>
      <c r="U699" s="79">
        <v>2023</v>
      </c>
      <c r="V699" s="151"/>
    </row>
    <row r="700" spans="1:22" ht="17.25" customHeight="1">
      <c r="A700" s="89">
        <f t="shared" ref="A700:A708" si="148">A699+1</f>
        <v>2</v>
      </c>
      <c r="B700" s="264" t="s">
        <v>861</v>
      </c>
      <c r="C700" s="81">
        <v>1985</v>
      </c>
      <c r="D700" s="150"/>
      <c r="E700" s="150"/>
      <c r="F700" s="92">
        <v>3465.9</v>
      </c>
      <c r="G700" s="92">
        <v>3417.5</v>
      </c>
      <c r="H700" s="1">
        <f t="shared" si="146"/>
        <v>7164577.6399999997</v>
      </c>
      <c r="I700" s="1">
        <v>0</v>
      </c>
      <c r="J700" s="1">
        <v>0</v>
      </c>
      <c r="K700" s="1">
        <v>0</v>
      </c>
      <c r="L700" s="1">
        <v>0</v>
      </c>
      <c r="M700" s="1">
        <f>6230067.51+934510.13</f>
        <v>7164577.6399999997</v>
      </c>
      <c r="N700" s="1">
        <v>0</v>
      </c>
      <c r="O700" s="1"/>
      <c r="P700" s="1">
        <v>0</v>
      </c>
      <c r="Q700" s="1">
        <f t="shared" si="147"/>
        <v>7164577.6399999997</v>
      </c>
      <c r="R700" s="1">
        <v>0</v>
      </c>
      <c r="S700" s="1">
        <v>0</v>
      </c>
      <c r="T700" s="79">
        <v>2022</v>
      </c>
      <c r="U700" s="79">
        <v>2023</v>
      </c>
      <c r="V700" s="151"/>
    </row>
    <row r="701" spans="1:22" ht="17.25" customHeight="1">
      <c r="A701" s="89">
        <f t="shared" si="148"/>
        <v>3</v>
      </c>
      <c r="B701" s="264" t="s">
        <v>862</v>
      </c>
      <c r="C701" s="81">
        <v>1985</v>
      </c>
      <c r="D701" s="150"/>
      <c r="E701" s="150"/>
      <c r="F701" s="92">
        <v>3450.2</v>
      </c>
      <c r="G701" s="92">
        <v>3397.6</v>
      </c>
      <c r="H701" s="1">
        <f t="shared" si="146"/>
        <v>11241558.029999999</v>
      </c>
      <c r="I701" s="1">
        <v>3885564.09</v>
      </c>
      <c r="J701" s="1">
        <v>0</v>
      </c>
      <c r="K701" s="1">
        <v>0</v>
      </c>
      <c r="L701" s="1">
        <v>0</v>
      </c>
      <c r="M701" s="152">
        <f>6193790.01+929068.5</f>
        <v>7122858.5099999998</v>
      </c>
      <c r="N701" s="1">
        <v>0</v>
      </c>
      <c r="O701" s="1">
        <v>233135.43</v>
      </c>
      <c r="P701" s="1">
        <v>0</v>
      </c>
      <c r="Q701" s="1">
        <f t="shared" si="147"/>
        <v>11241558.029999999</v>
      </c>
      <c r="R701" s="1">
        <v>0</v>
      </c>
      <c r="S701" s="1">
        <v>0</v>
      </c>
      <c r="T701" s="79">
        <v>2022</v>
      </c>
      <c r="U701" s="79">
        <v>2023</v>
      </c>
      <c r="V701" s="151"/>
    </row>
    <row r="702" spans="1:22" ht="17.25" customHeight="1">
      <c r="A702" s="89">
        <f t="shared" si="148"/>
        <v>4</v>
      </c>
      <c r="B702" s="264" t="s">
        <v>863</v>
      </c>
      <c r="C702" s="81">
        <v>1986</v>
      </c>
      <c r="D702" s="150"/>
      <c r="E702" s="150"/>
      <c r="F702" s="92">
        <v>3474.4</v>
      </c>
      <c r="G702" s="92">
        <v>3422.1</v>
      </c>
      <c r="H702" s="1">
        <f t="shared" si="146"/>
        <v>7034923.3899999997</v>
      </c>
      <c r="I702" s="1">
        <v>0</v>
      </c>
      <c r="J702" s="1">
        <v>0</v>
      </c>
      <c r="K702" s="1">
        <v>0</v>
      </c>
      <c r="L702" s="1">
        <v>0</v>
      </c>
      <c r="M702" s="1">
        <f>6117324.69+917598.7</f>
        <v>7034923.3899999997</v>
      </c>
      <c r="N702" s="1">
        <v>0</v>
      </c>
      <c r="O702" s="1"/>
      <c r="P702" s="1">
        <v>0</v>
      </c>
      <c r="Q702" s="1">
        <f t="shared" si="147"/>
        <v>7034923.3899999997</v>
      </c>
      <c r="R702" s="1">
        <v>0</v>
      </c>
      <c r="S702" s="1">
        <v>0</v>
      </c>
      <c r="T702" s="79">
        <v>2022</v>
      </c>
      <c r="U702" s="79">
        <v>2023</v>
      </c>
      <c r="V702" s="151"/>
    </row>
    <row r="703" spans="1:22" ht="17.25" customHeight="1">
      <c r="A703" s="89">
        <f t="shared" si="148"/>
        <v>5</v>
      </c>
      <c r="B703" s="264" t="s">
        <v>864</v>
      </c>
      <c r="C703" s="81">
        <v>1986</v>
      </c>
      <c r="D703" s="150"/>
      <c r="E703" s="150"/>
      <c r="F703" s="92">
        <v>3489.2</v>
      </c>
      <c r="G703" s="92">
        <v>3439.4</v>
      </c>
      <c r="H703" s="1">
        <f t="shared" si="146"/>
        <v>17370487.579999998</v>
      </c>
      <c r="I703" s="1">
        <v>0</v>
      </c>
      <c r="J703" s="1">
        <v>0</v>
      </c>
      <c r="K703" s="152">
        <v>9716981.1300000008</v>
      </c>
      <c r="L703" s="1">
        <v>0</v>
      </c>
      <c r="M703" s="1">
        <f>6148250.07+922237.51</f>
        <v>7070487.5800000001</v>
      </c>
      <c r="N703" s="1">
        <v>0</v>
      </c>
      <c r="O703" s="1">
        <v>583018.87</v>
      </c>
      <c r="P703" s="1">
        <v>0</v>
      </c>
      <c r="Q703" s="1">
        <f t="shared" si="147"/>
        <v>17370487.579999998</v>
      </c>
      <c r="R703" s="1">
        <v>0</v>
      </c>
      <c r="S703" s="1">
        <v>0</v>
      </c>
      <c r="T703" s="79">
        <v>2022</v>
      </c>
      <c r="U703" s="79">
        <v>2023</v>
      </c>
      <c r="V703" s="151"/>
    </row>
    <row r="704" spans="1:22" ht="17.25" customHeight="1">
      <c r="A704" s="89">
        <f t="shared" si="148"/>
        <v>6</v>
      </c>
      <c r="B704" s="264" t="s">
        <v>865</v>
      </c>
      <c r="C704" s="81">
        <v>1983</v>
      </c>
      <c r="D704" s="88"/>
      <c r="E704" s="88"/>
      <c r="F704" s="92">
        <v>2117.4</v>
      </c>
      <c r="G704" s="92">
        <v>2084.4</v>
      </c>
      <c r="H704" s="1">
        <f t="shared" si="146"/>
        <v>7577064.0300000003</v>
      </c>
      <c r="I704" s="1">
        <v>0</v>
      </c>
      <c r="J704" s="1">
        <v>0</v>
      </c>
      <c r="K704" s="152">
        <v>7148173.6100000003</v>
      </c>
      <c r="L704" s="1">
        <v>0</v>
      </c>
      <c r="M704" s="1"/>
      <c r="N704" s="1">
        <v>0</v>
      </c>
      <c r="O704" s="1">
        <v>428890.42</v>
      </c>
      <c r="P704" s="1">
        <v>0</v>
      </c>
      <c r="Q704" s="1">
        <f t="shared" si="147"/>
        <v>7577064.0300000003</v>
      </c>
      <c r="R704" s="1">
        <v>0</v>
      </c>
      <c r="S704" s="1">
        <v>0</v>
      </c>
      <c r="T704" s="79">
        <v>2022</v>
      </c>
      <c r="U704" s="79">
        <v>2023</v>
      </c>
      <c r="V704" s="151"/>
    </row>
    <row r="705" spans="1:22" ht="17.25" customHeight="1">
      <c r="A705" s="79">
        <f t="shared" si="148"/>
        <v>7</v>
      </c>
      <c r="B705" s="264" t="s">
        <v>867</v>
      </c>
      <c r="C705" s="81">
        <v>1989</v>
      </c>
      <c r="D705" s="88"/>
      <c r="E705" s="88"/>
      <c r="F705" s="92">
        <v>2381.9</v>
      </c>
      <c r="G705" s="92">
        <v>2092.4</v>
      </c>
      <c r="H705" s="1">
        <f t="shared" si="146"/>
        <v>2531347.86</v>
      </c>
      <c r="I705" s="1">
        <v>2387772.2200000002</v>
      </c>
      <c r="J705" s="1">
        <v>0</v>
      </c>
      <c r="K705" s="1">
        <v>0</v>
      </c>
      <c r="L705" s="1">
        <v>0</v>
      </c>
      <c r="M705" s="1"/>
      <c r="N705" s="1">
        <v>0</v>
      </c>
      <c r="O705" s="1">
        <v>143575.64000000001</v>
      </c>
      <c r="P705" s="1">
        <v>0</v>
      </c>
      <c r="Q705" s="1">
        <f t="shared" si="147"/>
        <v>2531347.86</v>
      </c>
      <c r="R705" s="1">
        <v>0</v>
      </c>
      <c r="S705" s="1">
        <v>0</v>
      </c>
      <c r="T705" s="79">
        <v>2022</v>
      </c>
      <c r="U705" s="79">
        <v>2023</v>
      </c>
      <c r="V705" s="151"/>
    </row>
    <row r="706" spans="1:22" ht="17.25" customHeight="1">
      <c r="A706" s="89">
        <f t="shared" si="148"/>
        <v>8</v>
      </c>
      <c r="B706" s="264" t="s">
        <v>866</v>
      </c>
      <c r="C706" s="81">
        <v>1992</v>
      </c>
      <c r="D706" s="88"/>
      <c r="E706" s="88"/>
      <c r="F706" s="92">
        <v>4350.5</v>
      </c>
      <c r="G706" s="92">
        <v>4331.8999999999996</v>
      </c>
      <c r="H706" s="1">
        <f t="shared" si="146"/>
        <v>9749394.2899999991</v>
      </c>
      <c r="I706" s="1">
        <v>0</v>
      </c>
      <c r="J706" s="1">
        <v>0</v>
      </c>
      <c r="K706" s="1">
        <v>0</v>
      </c>
      <c r="L706" s="1">
        <v>0</v>
      </c>
      <c r="M706" s="152">
        <v>9749394.2899999991</v>
      </c>
      <c r="N706" s="1">
        <v>0</v>
      </c>
      <c r="O706" s="1"/>
      <c r="P706" s="1">
        <v>0</v>
      </c>
      <c r="Q706" s="1">
        <f t="shared" si="147"/>
        <v>9749394.2899999991</v>
      </c>
      <c r="R706" s="1">
        <v>0</v>
      </c>
      <c r="S706" s="1">
        <v>0</v>
      </c>
      <c r="T706" s="79">
        <v>2022</v>
      </c>
      <c r="U706" s="79">
        <v>2023</v>
      </c>
      <c r="V706" s="151"/>
    </row>
    <row r="707" spans="1:22" ht="17.25" customHeight="1">
      <c r="A707" s="89">
        <f t="shared" si="148"/>
        <v>9</v>
      </c>
      <c r="B707" s="264" t="s">
        <v>381</v>
      </c>
      <c r="C707" s="81">
        <v>1993</v>
      </c>
      <c r="D707" s="88"/>
      <c r="E707" s="88"/>
      <c r="F707" s="92">
        <v>3208.1</v>
      </c>
      <c r="G707" s="92">
        <v>3171.9</v>
      </c>
      <c r="H707" s="1">
        <f t="shared" si="146"/>
        <v>7138692.8899999997</v>
      </c>
      <c r="I707" s="1">
        <v>0</v>
      </c>
      <c r="J707" s="1">
        <v>0</v>
      </c>
      <c r="K707" s="1">
        <v>0</v>
      </c>
      <c r="L707" s="1">
        <v>0</v>
      </c>
      <c r="M707" s="152">
        <v>7138692.8899999997</v>
      </c>
      <c r="N707" s="1">
        <v>0</v>
      </c>
      <c r="O707" s="1"/>
      <c r="P707" s="1">
        <v>0</v>
      </c>
      <c r="Q707" s="1">
        <f t="shared" si="147"/>
        <v>7138692.8899999997</v>
      </c>
      <c r="R707" s="1">
        <v>0</v>
      </c>
      <c r="S707" s="1">
        <v>0</v>
      </c>
      <c r="T707" s="79">
        <v>2022</v>
      </c>
      <c r="U707" s="79">
        <v>2023</v>
      </c>
      <c r="V707" s="151"/>
    </row>
    <row r="708" spans="1:22" ht="17.25" customHeight="1">
      <c r="A708" s="89">
        <f t="shared" si="148"/>
        <v>10</v>
      </c>
      <c r="B708" s="264" t="s">
        <v>382</v>
      </c>
      <c r="C708" s="81">
        <v>1992</v>
      </c>
      <c r="D708" s="88"/>
      <c r="E708" s="88"/>
      <c r="F708" s="92">
        <v>2401</v>
      </c>
      <c r="G708" s="92">
        <v>2366.9</v>
      </c>
      <c r="H708" s="1">
        <f t="shared" si="146"/>
        <v>5326956.1500000004</v>
      </c>
      <c r="I708" s="1">
        <v>0</v>
      </c>
      <c r="J708" s="1">
        <v>0</v>
      </c>
      <c r="K708" s="1">
        <v>0</v>
      </c>
      <c r="L708" s="1">
        <v>0</v>
      </c>
      <c r="M708" s="152">
        <v>5326956.1500000004</v>
      </c>
      <c r="N708" s="1">
        <v>0</v>
      </c>
      <c r="O708" s="1"/>
      <c r="P708" s="1">
        <v>0</v>
      </c>
      <c r="Q708" s="1">
        <f t="shared" si="147"/>
        <v>5326956.1500000004</v>
      </c>
      <c r="R708" s="1">
        <v>0</v>
      </c>
      <c r="S708" s="1">
        <v>0</v>
      </c>
      <c r="T708" s="79">
        <v>2022</v>
      </c>
      <c r="U708" s="79">
        <v>2023</v>
      </c>
      <c r="V708" s="151"/>
    </row>
    <row r="709" spans="1:22" ht="16.5" customHeight="1">
      <c r="A709" s="290" t="s">
        <v>606</v>
      </c>
      <c r="B709" s="290"/>
      <c r="C709" s="83"/>
      <c r="D709" s="116"/>
      <c r="E709" s="116"/>
      <c r="F709" s="14">
        <f t="shared" ref="F709:M709" si="149">SUM(F699:F708)</f>
        <v>31806.1</v>
      </c>
      <c r="G709" s="14">
        <f t="shared" si="149"/>
        <v>29806.2</v>
      </c>
      <c r="H709" s="27">
        <f t="shared" si="149"/>
        <v>78004266.260000005</v>
      </c>
      <c r="I709" s="27">
        <f t="shared" si="149"/>
        <v>8980189.5199999996</v>
      </c>
      <c r="J709" s="15">
        <f t="shared" si="149"/>
        <v>0</v>
      </c>
      <c r="K709" s="27">
        <f t="shared" si="149"/>
        <v>16865154.739999998</v>
      </c>
      <c r="L709" s="15">
        <f t="shared" si="149"/>
        <v>0</v>
      </c>
      <c r="M709" s="27">
        <f t="shared" si="149"/>
        <v>50607890.450000003</v>
      </c>
      <c r="N709" s="15">
        <f>SUM(N706:N708)</f>
        <v>0</v>
      </c>
      <c r="O709" s="27">
        <f>SUM(O699:O708)</f>
        <v>1551031.55</v>
      </c>
      <c r="P709" s="15">
        <f>SUM(P699:P708)</f>
        <v>0</v>
      </c>
      <c r="Q709" s="27">
        <f>SUM(Q699:Q708)</f>
        <v>78004266.260000005</v>
      </c>
      <c r="R709" s="15">
        <f>SUM(R699:R708)</f>
        <v>0</v>
      </c>
      <c r="S709" s="15">
        <f>SUM(S699:S708)</f>
        <v>0</v>
      </c>
      <c r="T709" s="16" t="s">
        <v>31</v>
      </c>
      <c r="U709" s="57" t="s">
        <v>31</v>
      </c>
      <c r="V709" s="153"/>
    </row>
    <row r="710" spans="1:22" ht="15.75">
      <c r="A710" s="289" t="s">
        <v>384</v>
      </c>
      <c r="B710" s="289"/>
      <c r="C710" s="289"/>
      <c r="D710" s="289"/>
      <c r="E710" s="289"/>
      <c r="F710" s="289"/>
      <c r="G710" s="289"/>
      <c r="H710" s="289"/>
      <c r="I710" s="289"/>
      <c r="J710" s="289"/>
      <c r="K710" s="289"/>
      <c r="L710" s="289"/>
      <c r="M710" s="289"/>
      <c r="N710" s="289"/>
      <c r="O710" s="289"/>
      <c r="P710" s="289"/>
      <c r="Q710" s="289"/>
      <c r="R710" s="289"/>
      <c r="S710" s="289"/>
      <c r="T710" s="289"/>
      <c r="U710" s="289"/>
    </row>
    <row r="711" spans="1:22" ht="15.75">
      <c r="A711" s="126">
        <f>A708+1</f>
        <v>11</v>
      </c>
      <c r="B711" s="186" t="s">
        <v>51</v>
      </c>
      <c r="C711" s="81">
        <v>1965</v>
      </c>
      <c r="D711" s="79"/>
      <c r="E711" s="79"/>
      <c r="F711" s="92">
        <v>2721</v>
      </c>
      <c r="G711" s="92">
        <v>2499.9</v>
      </c>
      <c r="H711" s="1">
        <f t="shared" ref="H711:H728" si="150">I711+J711+K711+L711+M711+N711+O711</f>
        <v>9457620.0500000007</v>
      </c>
      <c r="I711" s="1">
        <v>0</v>
      </c>
      <c r="J711" s="1">
        <v>0</v>
      </c>
      <c r="K711" s="1">
        <f>9317852.27*1.015</f>
        <v>9457620.0500000007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f>H711</f>
        <v>9457620.0500000007</v>
      </c>
      <c r="T711" s="79">
        <v>2020</v>
      </c>
      <c r="U711" s="79">
        <v>2022</v>
      </c>
    </row>
    <row r="712" spans="1:22" ht="15.75">
      <c r="A712" s="176">
        <f t="shared" ref="A712:A728" si="151">A711+1</f>
        <v>12</v>
      </c>
      <c r="B712" s="177" t="s">
        <v>667</v>
      </c>
      <c r="C712" s="178">
        <v>1969</v>
      </c>
      <c r="D712" s="179"/>
      <c r="E712" s="179"/>
      <c r="F712" s="180">
        <v>3664.4</v>
      </c>
      <c r="G712" s="180">
        <v>3394.4</v>
      </c>
      <c r="H712" s="1">
        <f t="shared" si="150"/>
        <v>13192057.859999999</v>
      </c>
      <c r="I712" s="1">
        <v>0</v>
      </c>
      <c r="J712" s="1">
        <v>0</v>
      </c>
      <c r="K712" s="1">
        <f>ROUND(3727.29*G712*1.015,2)+0.01</f>
        <v>12841691.880000001</v>
      </c>
      <c r="L712" s="1">
        <v>0</v>
      </c>
      <c r="M712" s="1">
        <v>0</v>
      </c>
      <c r="N712" s="1">
        <v>0</v>
      </c>
      <c r="O712" s="181">
        <v>350365.98</v>
      </c>
      <c r="P712" s="1">
        <v>0</v>
      </c>
      <c r="Q712" s="1">
        <v>0</v>
      </c>
      <c r="R712" s="1">
        <v>0</v>
      </c>
      <c r="S712" s="1">
        <f t="shared" ref="S712:S728" si="152">H712</f>
        <v>13192057.859999999</v>
      </c>
      <c r="T712" s="182">
        <v>2022</v>
      </c>
      <c r="U712" s="182">
        <v>2022</v>
      </c>
    </row>
    <row r="713" spans="1:22" ht="15.75">
      <c r="A713" s="176">
        <f t="shared" si="151"/>
        <v>13</v>
      </c>
      <c r="B713" s="177" t="s">
        <v>668</v>
      </c>
      <c r="C713" s="183">
        <v>1958</v>
      </c>
      <c r="D713" s="179"/>
      <c r="E713" s="179"/>
      <c r="F713" s="184">
        <v>1605.3</v>
      </c>
      <c r="G713" s="184">
        <v>1457.1</v>
      </c>
      <c r="H713" s="1">
        <f t="shared" si="150"/>
        <v>9142302.4600000009</v>
      </c>
      <c r="I713" s="1">
        <v>0</v>
      </c>
      <c r="J713" s="1">
        <v>0</v>
      </c>
      <c r="K713" s="1">
        <f>ROUND(5975.33*G713*1.015,2)</f>
        <v>8837253.1400000006</v>
      </c>
      <c r="L713" s="1">
        <v>0</v>
      </c>
      <c r="M713" s="1">
        <v>0</v>
      </c>
      <c r="N713" s="1">
        <v>0</v>
      </c>
      <c r="O713" s="181">
        <v>305049.32</v>
      </c>
      <c r="P713" s="1">
        <v>0</v>
      </c>
      <c r="Q713" s="1">
        <v>0</v>
      </c>
      <c r="R713" s="1">
        <v>0</v>
      </c>
      <c r="S713" s="1">
        <f t="shared" si="152"/>
        <v>9142302.4600000009</v>
      </c>
      <c r="T713" s="182">
        <v>2022</v>
      </c>
      <c r="U713" s="182">
        <v>2022</v>
      </c>
    </row>
    <row r="714" spans="1:22" ht="15.75">
      <c r="A714" s="176">
        <f t="shared" si="151"/>
        <v>14</v>
      </c>
      <c r="B714" s="185" t="s">
        <v>669</v>
      </c>
      <c r="C714" s="178">
        <v>1966</v>
      </c>
      <c r="D714" s="179"/>
      <c r="E714" s="179"/>
      <c r="F714" s="180">
        <v>3822.3</v>
      </c>
      <c r="G714" s="180">
        <v>3560.4</v>
      </c>
      <c r="H714" s="1">
        <f t="shared" si="150"/>
        <v>13812726.34</v>
      </c>
      <c r="I714" s="1">
        <v>0</v>
      </c>
      <c r="J714" s="1">
        <v>0</v>
      </c>
      <c r="K714" s="1">
        <f>ROUND(3727.29*G714*1.015,2)</f>
        <v>13469702.970000001</v>
      </c>
      <c r="L714" s="1">
        <v>0</v>
      </c>
      <c r="M714" s="1">
        <v>0</v>
      </c>
      <c r="N714" s="1">
        <v>0</v>
      </c>
      <c r="O714" s="181">
        <v>343023.37</v>
      </c>
      <c r="P714" s="1">
        <v>0</v>
      </c>
      <c r="Q714" s="1">
        <v>0</v>
      </c>
      <c r="R714" s="1">
        <v>0</v>
      </c>
      <c r="S714" s="1">
        <f t="shared" si="152"/>
        <v>13812726.34</v>
      </c>
      <c r="T714" s="182">
        <v>2022</v>
      </c>
      <c r="U714" s="182">
        <v>2022</v>
      </c>
    </row>
    <row r="715" spans="1:22" ht="15.75">
      <c r="A715" s="176">
        <f t="shared" si="151"/>
        <v>15</v>
      </c>
      <c r="B715" s="185" t="s">
        <v>670</v>
      </c>
      <c r="C715" s="183">
        <v>1966</v>
      </c>
      <c r="D715" s="179"/>
      <c r="E715" s="179"/>
      <c r="F715" s="184">
        <v>4787.8999999999996</v>
      </c>
      <c r="G715" s="184">
        <v>4358.6000000000004</v>
      </c>
      <c r="H715" s="1">
        <f t="shared" si="150"/>
        <v>15921587.050000001</v>
      </c>
      <c r="I715" s="1">
        <v>0</v>
      </c>
      <c r="J715" s="1">
        <v>0</v>
      </c>
      <c r="K715" s="1">
        <f>ROUND(3517.3*G715*1.015,2)</f>
        <v>15560461.34</v>
      </c>
      <c r="L715" s="1">
        <v>0</v>
      </c>
      <c r="M715" s="1">
        <v>0</v>
      </c>
      <c r="N715" s="1">
        <v>0</v>
      </c>
      <c r="O715" s="181">
        <v>361125.71</v>
      </c>
      <c r="P715" s="1">
        <v>0</v>
      </c>
      <c r="Q715" s="1">
        <v>0</v>
      </c>
      <c r="R715" s="1">
        <v>0</v>
      </c>
      <c r="S715" s="1">
        <f t="shared" si="152"/>
        <v>15921587.050000001</v>
      </c>
      <c r="T715" s="182">
        <v>2022</v>
      </c>
      <c r="U715" s="182">
        <v>2022</v>
      </c>
    </row>
    <row r="716" spans="1:22" ht="15.75">
      <c r="A716" s="176">
        <f t="shared" si="151"/>
        <v>16</v>
      </c>
      <c r="B716" s="186" t="s">
        <v>837</v>
      </c>
      <c r="C716" s="187">
        <v>1967</v>
      </c>
      <c r="D716" s="179"/>
      <c r="E716" s="179"/>
      <c r="F716" s="180">
        <v>4771.6000000000004</v>
      </c>
      <c r="G716" s="180">
        <v>4364.5</v>
      </c>
      <c r="H716" s="1">
        <f t="shared" si="150"/>
        <v>782714.4</v>
      </c>
      <c r="I716" s="1">
        <v>0</v>
      </c>
      <c r="J716" s="1">
        <v>0</v>
      </c>
      <c r="K716" s="1"/>
      <c r="L716" s="1">
        <v>0</v>
      </c>
      <c r="M716" s="1">
        <v>0</v>
      </c>
      <c r="N716" s="1">
        <v>0</v>
      </c>
      <c r="O716" s="181">
        <v>782714.4</v>
      </c>
      <c r="P716" s="1">
        <v>0</v>
      </c>
      <c r="Q716" s="1">
        <v>0</v>
      </c>
      <c r="R716" s="1">
        <v>0</v>
      </c>
      <c r="S716" s="1">
        <f t="shared" si="152"/>
        <v>782714.4</v>
      </c>
      <c r="T716" s="182">
        <v>2022</v>
      </c>
      <c r="U716" s="182">
        <v>2023</v>
      </c>
    </row>
    <row r="717" spans="1:22" ht="15.75">
      <c r="A717" s="176">
        <f t="shared" si="151"/>
        <v>17</v>
      </c>
      <c r="B717" s="186" t="s">
        <v>677</v>
      </c>
      <c r="C717" s="188">
        <v>1971</v>
      </c>
      <c r="D717" s="179"/>
      <c r="E717" s="179"/>
      <c r="F717" s="180">
        <v>6201.3</v>
      </c>
      <c r="G717" s="180">
        <v>5845.3</v>
      </c>
      <c r="H717" s="1">
        <f t="shared" si="150"/>
        <v>23421162.850000001</v>
      </c>
      <c r="I717" s="1">
        <v>0</v>
      </c>
      <c r="J717" s="1">
        <v>0</v>
      </c>
      <c r="K717" s="1">
        <f>ROUND(G717*3727.29*1.015,2)</f>
        <v>22113935.16</v>
      </c>
      <c r="L717" s="1">
        <v>0</v>
      </c>
      <c r="M717" s="1">
        <v>0</v>
      </c>
      <c r="N717" s="1">
        <v>0</v>
      </c>
      <c r="O717" s="181">
        <v>1307227.69</v>
      </c>
      <c r="P717" s="1">
        <v>0</v>
      </c>
      <c r="Q717" s="1">
        <v>0</v>
      </c>
      <c r="R717" s="1">
        <v>0</v>
      </c>
      <c r="S717" s="1">
        <f t="shared" si="152"/>
        <v>23421162.850000001</v>
      </c>
      <c r="T717" s="182">
        <v>2022</v>
      </c>
      <c r="U717" s="182">
        <v>2022</v>
      </c>
    </row>
    <row r="718" spans="1:22" ht="15.75">
      <c r="A718" s="176">
        <f t="shared" si="151"/>
        <v>18</v>
      </c>
      <c r="B718" s="177" t="s">
        <v>671</v>
      </c>
      <c r="C718" s="178">
        <v>1959</v>
      </c>
      <c r="D718" s="179"/>
      <c r="E718" s="179"/>
      <c r="F718" s="180">
        <v>1539.5</v>
      </c>
      <c r="G718" s="180">
        <v>1428.3</v>
      </c>
      <c r="H718" s="1">
        <f t="shared" si="150"/>
        <v>15053561.699999999</v>
      </c>
      <c r="I718" s="1">
        <f>13549280.27*1.015</f>
        <v>13752519.470000001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81">
        <v>1301042.23</v>
      </c>
      <c r="P718" s="1">
        <v>0</v>
      </c>
      <c r="Q718" s="1">
        <v>0</v>
      </c>
      <c r="R718" s="1">
        <v>0</v>
      </c>
      <c r="S718" s="1">
        <f t="shared" si="152"/>
        <v>15053561.699999999</v>
      </c>
      <c r="T718" s="182">
        <v>2022</v>
      </c>
      <c r="U718" s="182">
        <v>2022</v>
      </c>
    </row>
    <row r="719" spans="1:22" ht="15.75">
      <c r="A719" s="176">
        <f t="shared" si="151"/>
        <v>19</v>
      </c>
      <c r="B719" s="177" t="s">
        <v>672</v>
      </c>
      <c r="C719" s="178">
        <v>1964</v>
      </c>
      <c r="D719" s="179"/>
      <c r="E719" s="179"/>
      <c r="F719" s="180">
        <v>3785.6</v>
      </c>
      <c r="G719" s="180">
        <v>3491.4</v>
      </c>
      <c r="H719" s="1">
        <f t="shared" si="150"/>
        <v>12803257.619999999</v>
      </c>
      <c r="I719" s="1">
        <v>0</v>
      </c>
      <c r="J719" s="1">
        <v>0</v>
      </c>
      <c r="K719" s="1">
        <f>ROUND(3517.3*G719*1.015,2)</f>
        <v>12464505.74</v>
      </c>
      <c r="L719" s="1">
        <v>0</v>
      </c>
      <c r="M719" s="1">
        <v>0</v>
      </c>
      <c r="N719" s="1">
        <v>0</v>
      </c>
      <c r="O719" s="181">
        <v>338751.88</v>
      </c>
      <c r="P719" s="1">
        <v>0</v>
      </c>
      <c r="Q719" s="1">
        <v>0</v>
      </c>
      <c r="R719" s="1">
        <v>0</v>
      </c>
      <c r="S719" s="1">
        <f t="shared" si="152"/>
        <v>12803257.619999999</v>
      </c>
      <c r="T719" s="182">
        <v>2022</v>
      </c>
      <c r="U719" s="182">
        <v>2022</v>
      </c>
    </row>
    <row r="720" spans="1:22" ht="15.75">
      <c r="A720" s="176">
        <f t="shared" si="151"/>
        <v>20</v>
      </c>
      <c r="B720" s="177" t="s">
        <v>53</v>
      </c>
      <c r="C720" s="178">
        <v>1958</v>
      </c>
      <c r="D720" s="179"/>
      <c r="E720" s="179"/>
      <c r="F720" s="180">
        <v>1638.3</v>
      </c>
      <c r="G720" s="180">
        <v>1469.1</v>
      </c>
      <c r="H720" s="1">
        <f t="shared" si="150"/>
        <v>1194902.79</v>
      </c>
      <c r="I720" s="1">
        <f>ROUND(616.25*G720*1.015,2)</f>
        <v>918912.87</v>
      </c>
      <c r="J720" s="1">
        <v>0</v>
      </c>
      <c r="K720" s="1">
        <v>0</v>
      </c>
      <c r="L720" s="1">
        <v>0</v>
      </c>
      <c r="M720" s="1">
        <v>0</v>
      </c>
      <c r="N720" s="1">
        <v>0</v>
      </c>
      <c r="O720" s="181">
        <v>275989.92</v>
      </c>
      <c r="P720" s="1">
        <v>0</v>
      </c>
      <c r="Q720" s="1">
        <v>0</v>
      </c>
      <c r="R720" s="1">
        <v>0</v>
      </c>
      <c r="S720" s="1">
        <f t="shared" si="152"/>
        <v>1194902.79</v>
      </c>
      <c r="T720" s="182">
        <v>2022</v>
      </c>
      <c r="U720" s="182">
        <v>2022</v>
      </c>
    </row>
    <row r="721" spans="1:21" ht="15.75">
      <c r="A721" s="176">
        <f t="shared" si="151"/>
        <v>21</v>
      </c>
      <c r="B721" s="177" t="s">
        <v>673</v>
      </c>
      <c r="C721" s="178">
        <v>1964</v>
      </c>
      <c r="D721" s="179"/>
      <c r="E721" s="179"/>
      <c r="F721" s="189">
        <v>3005.5</v>
      </c>
      <c r="G721" s="189">
        <v>2701.2</v>
      </c>
      <c r="H721" s="1">
        <f t="shared" si="150"/>
        <v>9964989.3900000006</v>
      </c>
      <c r="I721" s="1">
        <v>0</v>
      </c>
      <c r="J721" s="1">
        <v>0</v>
      </c>
      <c r="K721" s="1">
        <f>ROUND(3517.3*G721*1.015,2)</f>
        <v>9643444.7200000007</v>
      </c>
      <c r="L721" s="1">
        <v>0</v>
      </c>
      <c r="M721" s="1">
        <v>0</v>
      </c>
      <c r="N721" s="1">
        <v>0</v>
      </c>
      <c r="O721" s="181">
        <v>321544.67</v>
      </c>
      <c r="P721" s="1">
        <v>0</v>
      </c>
      <c r="Q721" s="1">
        <v>0</v>
      </c>
      <c r="R721" s="1">
        <v>0</v>
      </c>
      <c r="S721" s="1">
        <f t="shared" si="152"/>
        <v>9964989.3900000006</v>
      </c>
      <c r="T721" s="182">
        <v>2022</v>
      </c>
      <c r="U721" s="182">
        <v>2022</v>
      </c>
    </row>
    <row r="722" spans="1:21" ht="15.75">
      <c r="A722" s="176">
        <f t="shared" si="151"/>
        <v>22</v>
      </c>
      <c r="B722" s="177" t="s">
        <v>674</v>
      </c>
      <c r="C722" s="178">
        <v>1964</v>
      </c>
      <c r="D722" s="179"/>
      <c r="E722" s="179"/>
      <c r="F722" s="180">
        <v>2980.4</v>
      </c>
      <c r="G722" s="180">
        <v>2684.5</v>
      </c>
      <c r="H722" s="1">
        <f t="shared" si="150"/>
        <v>9905019.6199999992</v>
      </c>
      <c r="I722" s="1">
        <v>0</v>
      </c>
      <c r="J722" s="1">
        <v>0</v>
      </c>
      <c r="K722" s="1">
        <f>ROUND(3517.3*G722*1.015,2)</f>
        <v>9583824.7300000004</v>
      </c>
      <c r="L722" s="1">
        <v>0</v>
      </c>
      <c r="M722" s="1">
        <v>0</v>
      </c>
      <c r="N722" s="1">
        <v>0</v>
      </c>
      <c r="O722" s="181">
        <v>321194.89</v>
      </c>
      <c r="P722" s="1">
        <v>0</v>
      </c>
      <c r="Q722" s="1">
        <v>0</v>
      </c>
      <c r="R722" s="1">
        <v>0</v>
      </c>
      <c r="S722" s="1">
        <f t="shared" si="152"/>
        <v>9905019.6199999992</v>
      </c>
      <c r="T722" s="182">
        <v>2022</v>
      </c>
      <c r="U722" s="182">
        <v>2022</v>
      </c>
    </row>
    <row r="723" spans="1:21" ht="15.75">
      <c r="A723" s="176">
        <f t="shared" si="151"/>
        <v>23</v>
      </c>
      <c r="B723" s="185" t="s">
        <v>675</v>
      </c>
      <c r="C723" s="178">
        <v>1964</v>
      </c>
      <c r="D723" s="179"/>
      <c r="E723" s="179"/>
      <c r="F723" s="180">
        <v>3036.5</v>
      </c>
      <c r="G723" s="180">
        <v>2734.8</v>
      </c>
      <c r="H723" s="1">
        <f t="shared" si="150"/>
        <v>10083561.890000001</v>
      </c>
      <c r="I723" s="1">
        <v>0</v>
      </c>
      <c r="J723" s="1">
        <v>0</v>
      </c>
      <c r="K723" s="1">
        <f>ROUND(3517.3*G723*1.015,2)</f>
        <v>9763398.7200000007</v>
      </c>
      <c r="L723" s="1">
        <v>0</v>
      </c>
      <c r="M723" s="1">
        <v>0</v>
      </c>
      <c r="N723" s="1">
        <v>0</v>
      </c>
      <c r="O723" s="181">
        <v>320163.17</v>
      </c>
      <c r="P723" s="1">
        <v>0</v>
      </c>
      <c r="Q723" s="1">
        <v>0</v>
      </c>
      <c r="R723" s="1">
        <v>0</v>
      </c>
      <c r="S723" s="1">
        <f t="shared" si="152"/>
        <v>10083561.890000001</v>
      </c>
      <c r="T723" s="182">
        <v>2022</v>
      </c>
      <c r="U723" s="182">
        <v>2022</v>
      </c>
    </row>
    <row r="724" spans="1:21" ht="15.75">
      <c r="A724" s="176">
        <f t="shared" si="151"/>
        <v>24</v>
      </c>
      <c r="B724" s="177" t="s">
        <v>676</v>
      </c>
      <c r="C724" s="178">
        <v>1962</v>
      </c>
      <c r="D724" s="179"/>
      <c r="E724" s="179"/>
      <c r="F724" s="180">
        <v>3004.9</v>
      </c>
      <c r="G724" s="180">
        <v>2722.7</v>
      </c>
      <c r="H724" s="1">
        <f t="shared" si="150"/>
        <v>16914067.460000001</v>
      </c>
      <c r="I724" s="1">
        <v>0</v>
      </c>
      <c r="J724" s="1">
        <v>0</v>
      </c>
      <c r="K724" s="1">
        <f>ROUND(5975.33*G724*1.015,2)-0.01</f>
        <v>16513066.449999999</v>
      </c>
      <c r="L724" s="1">
        <v>0</v>
      </c>
      <c r="M724" s="1">
        <v>0</v>
      </c>
      <c r="N724" s="1">
        <v>0</v>
      </c>
      <c r="O724" s="181">
        <v>401001.01</v>
      </c>
      <c r="P724" s="1">
        <v>0</v>
      </c>
      <c r="Q724" s="1">
        <v>0</v>
      </c>
      <c r="R724" s="1">
        <v>0</v>
      </c>
      <c r="S724" s="1">
        <f t="shared" si="152"/>
        <v>16914067.460000001</v>
      </c>
      <c r="T724" s="182">
        <v>2022</v>
      </c>
      <c r="U724" s="182">
        <v>2022</v>
      </c>
    </row>
    <row r="725" spans="1:21" ht="15.75">
      <c r="A725" s="176">
        <f t="shared" si="151"/>
        <v>25</v>
      </c>
      <c r="B725" s="186" t="s">
        <v>836</v>
      </c>
      <c r="C725" s="187">
        <v>1965</v>
      </c>
      <c r="D725" s="179"/>
      <c r="E725" s="179"/>
      <c r="F725" s="180">
        <v>3446.7</v>
      </c>
      <c r="G725" s="180">
        <v>3446.7</v>
      </c>
      <c r="H725" s="1">
        <f t="shared" si="150"/>
        <v>737436</v>
      </c>
      <c r="I725" s="1">
        <v>0</v>
      </c>
      <c r="J725" s="1">
        <v>0</v>
      </c>
      <c r="K725" s="1"/>
      <c r="L725" s="1">
        <v>0</v>
      </c>
      <c r="M725" s="1">
        <v>0</v>
      </c>
      <c r="N725" s="1">
        <v>0</v>
      </c>
      <c r="O725" s="181">
        <f>737436</f>
        <v>737436</v>
      </c>
      <c r="P725" s="1">
        <v>0</v>
      </c>
      <c r="Q725" s="1">
        <v>0</v>
      </c>
      <c r="R725" s="1">
        <v>0</v>
      </c>
      <c r="S725" s="1">
        <f t="shared" si="152"/>
        <v>737436</v>
      </c>
      <c r="T725" s="182">
        <v>2022</v>
      </c>
      <c r="U725" s="182">
        <v>2023</v>
      </c>
    </row>
    <row r="726" spans="1:21" ht="15.75">
      <c r="A726" s="176">
        <f t="shared" si="151"/>
        <v>26</v>
      </c>
      <c r="B726" s="185" t="s">
        <v>392</v>
      </c>
      <c r="C726" s="178">
        <v>1979</v>
      </c>
      <c r="D726" s="179"/>
      <c r="E726" s="179"/>
      <c r="F726" s="180">
        <v>4856.1000000000004</v>
      </c>
      <c r="G726" s="180">
        <v>4354.1000000000004</v>
      </c>
      <c r="H726" s="1">
        <f t="shared" si="150"/>
        <v>15544396.07</v>
      </c>
      <c r="I726" s="1">
        <v>0</v>
      </c>
      <c r="J726" s="1">
        <v>0</v>
      </c>
      <c r="K726" s="1">
        <f>ROUND(3517.3*G726*1.015,2)</f>
        <v>15544396.07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f t="shared" si="152"/>
        <v>15544396.07</v>
      </c>
      <c r="T726" s="182">
        <v>2021</v>
      </c>
      <c r="U726" s="182">
        <v>2022</v>
      </c>
    </row>
    <row r="727" spans="1:21" ht="15.75">
      <c r="A727" s="176">
        <f t="shared" si="151"/>
        <v>27</v>
      </c>
      <c r="B727" s="185" t="s">
        <v>393</v>
      </c>
      <c r="C727" s="178">
        <v>1965</v>
      </c>
      <c r="D727" s="179"/>
      <c r="E727" s="179"/>
      <c r="F727" s="180">
        <v>3780.3</v>
      </c>
      <c r="G727" s="180">
        <v>3476.5</v>
      </c>
      <c r="H727" s="1">
        <f t="shared" si="150"/>
        <v>12411311.85</v>
      </c>
      <c r="I727" s="1">
        <v>0</v>
      </c>
      <c r="J727" s="1">
        <v>0</v>
      </c>
      <c r="K727" s="1">
        <f>ROUND(3517.3*G727*1.015,2)</f>
        <v>12411311.85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f t="shared" si="152"/>
        <v>12411311.85</v>
      </c>
      <c r="T727" s="182">
        <v>2021</v>
      </c>
      <c r="U727" s="182">
        <v>2022</v>
      </c>
    </row>
    <row r="728" spans="1:21" ht="15.75">
      <c r="A728" s="176">
        <f t="shared" si="151"/>
        <v>28</v>
      </c>
      <c r="B728" s="186" t="s">
        <v>835</v>
      </c>
      <c r="C728" s="187">
        <v>1968</v>
      </c>
      <c r="D728" s="179"/>
      <c r="E728" s="179"/>
      <c r="F728" s="180">
        <v>4271.3999999999996</v>
      </c>
      <c r="G728" s="180">
        <v>4271.3999999999996</v>
      </c>
      <c r="H728" s="1">
        <f t="shared" si="150"/>
        <v>783978</v>
      </c>
      <c r="I728" s="1">
        <v>0</v>
      </c>
      <c r="J728" s="1">
        <v>0</v>
      </c>
      <c r="K728" s="1"/>
      <c r="L728" s="1">
        <v>0</v>
      </c>
      <c r="M728" s="1">
        <v>0</v>
      </c>
      <c r="N728" s="1">
        <v>0</v>
      </c>
      <c r="O728" s="181">
        <v>783978</v>
      </c>
      <c r="P728" s="1">
        <v>0</v>
      </c>
      <c r="Q728" s="1">
        <v>0</v>
      </c>
      <c r="R728" s="1">
        <v>0</v>
      </c>
      <c r="S728" s="1">
        <f t="shared" si="152"/>
        <v>783978</v>
      </c>
      <c r="T728" s="182">
        <v>2022</v>
      </c>
      <c r="U728" s="182">
        <v>2023</v>
      </c>
    </row>
    <row r="729" spans="1:21" ht="15.75">
      <c r="A729" s="287" t="s">
        <v>606</v>
      </c>
      <c r="B729" s="287"/>
      <c r="C729" s="190"/>
      <c r="D729" s="179"/>
      <c r="E729" s="179"/>
      <c r="F729" s="14">
        <f t="shared" ref="F729:Q729" si="153">SUM(F711:F728)</f>
        <v>62919</v>
      </c>
      <c r="G729" s="14">
        <f t="shared" si="153"/>
        <v>58260.9</v>
      </c>
      <c r="H729" s="15">
        <f t="shared" si="153"/>
        <v>191126653.40000001</v>
      </c>
      <c r="I729" s="15">
        <f t="shared" si="153"/>
        <v>14671432.34</v>
      </c>
      <c r="J729" s="15">
        <f t="shared" si="153"/>
        <v>0</v>
      </c>
      <c r="K729" s="15">
        <f t="shared" si="153"/>
        <v>168204612.81999999</v>
      </c>
      <c r="L729" s="15">
        <f t="shared" si="153"/>
        <v>0</v>
      </c>
      <c r="M729" s="15">
        <f t="shared" si="153"/>
        <v>0</v>
      </c>
      <c r="N729" s="15">
        <f t="shared" si="153"/>
        <v>0</v>
      </c>
      <c r="O729" s="15">
        <f t="shared" si="153"/>
        <v>8250608.2400000002</v>
      </c>
      <c r="P729" s="15">
        <f t="shared" si="153"/>
        <v>0</v>
      </c>
      <c r="Q729" s="15">
        <f t="shared" si="153"/>
        <v>0</v>
      </c>
      <c r="R729" s="15">
        <f>SUM(R711:R727)</f>
        <v>0</v>
      </c>
      <c r="S729" s="15">
        <f>SUM(S711:S728)</f>
        <v>191126653.40000001</v>
      </c>
      <c r="T729" s="16" t="s">
        <v>31</v>
      </c>
      <c r="U729" s="16" t="s">
        <v>31</v>
      </c>
    </row>
    <row r="730" spans="1:21" ht="15.75">
      <c r="A730" s="291" t="s">
        <v>394</v>
      </c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</row>
    <row r="731" spans="1:21" ht="15" customHeight="1">
      <c r="A731" s="182">
        <f>A728+1</f>
        <v>29</v>
      </c>
      <c r="B731" s="191" t="s">
        <v>395</v>
      </c>
      <c r="C731" s="192">
        <v>1959</v>
      </c>
      <c r="D731" s="193"/>
      <c r="E731" s="193"/>
      <c r="F731" s="189">
        <v>3234.7</v>
      </c>
      <c r="G731" s="194">
        <v>2537.8000000000002</v>
      </c>
      <c r="H731" s="1">
        <f t="shared" ref="H731:H743" si="154">I731+J731+K731+L731+M731+N731+O731</f>
        <v>9601003.3100000005</v>
      </c>
      <c r="I731" s="1">
        <v>0</v>
      </c>
      <c r="J731" s="1">
        <v>0</v>
      </c>
      <c r="K731" s="1">
        <f>ROUND(3727.29*G731*1.015,2)</f>
        <v>9601003.3100000005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95">
        <f t="shared" ref="S731:S743" si="155">H731</f>
        <v>9601003.3100000005</v>
      </c>
      <c r="T731" s="182">
        <v>2022</v>
      </c>
      <c r="U731" s="182">
        <v>2022</v>
      </c>
    </row>
    <row r="732" spans="1:21" ht="15" customHeight="1">
      <c r="A732" s="182">
        <f t="shared" ref="A732:A743" si="156">A731+1</f>
        <v>30</v>
      </c>
      <c r="B732" s="191" t="s">
        <v>68</v>
      </c>
      <c r="C732" s="192">
        <v>1936</v>
      </c>
      <c r="D732" s="193"/>
      <c r="E732" s="193"/>
      <c r="F732" s="189">
        <v>1867.7</v>
      </c>
      <c r="G732" s="194">
        <v>1536.8</v>
      </c>
      <c r="H732" s="30">
        <f t="shared" si="154"/>
        <v>9044037.4900000002</v>
      </c>
      <c r="I732" s="1">
        <v>0</v>
      </c>
      <c r="J732" s="1">
        <v>0</v>
      </c>
      <c r="K732" s="1">
        <v>0</v>
      </c>
      <c r="L732" s="1">
        <v>0</v>
      </c>
      <c r="M732" s="1">
        <f>ROUND(5798.01*G732*1.015,2)</f>
        <v>9044037.4900000002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95">
        <f t="shared" si="155"/>
        <v>9044037.4900000002</v>
      </c>
      <c r="T732" s="182">
        <v>2020</v>
      </c>
      <c r="U732" s="182">
        <v>2022</v>
      </c>
    </row>
    <row r="733" spans="1:21" ht="15" customHeight="1">
      <c r="A733" s="182">
        <f t="shared" si="156"/>
        <v>31</v>
      </c>
      <c r="B733" s="191" t="s">
        <v>678</v>
      </c>
      <c r="C733" s="192">
        <v>1961</v>
      </c>
      <c r="D733" s="193"/>
      <c r="E733" s="193"/>
      <c r="F733" s="194">
        <v>1665.7</v>
      </c>
      <c r="G733" s="194">
        <v>1491</v>
      </c>
      <c r="H733" s="1">
        <f t="shared" si="154"/>
        <v>302856.74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302856.74</v>
      </c>
      <c r="P733" s="1">
        <v>0</v>
      </c>
      <c r="Q733" s="1">
        <v>0</v>
      </c>
      <c r="R733" s="1">
        <v>0</v>
      </c>
      <c r="S733" s="195">
        <f t="shared" si="155"/>
        <v>302856.74</v>
      </c>
      <c r="T733" s="182">
        <v>2022</v>
      </c>
      <c r="U733" s="182">
        <v>2022</v>
      </c>
    </row>
    <row r="734" spans="1:21" ht="15" customHeight="1">
      <c r="A734" s="182">
        <f t="shared" si="156"/>
        <v>32</v>
      </c>
      <c r="B734" s="191" t="s">
        <v>397</v>
      </c>
      <c r="C734" s="192">
        <v>1949</v>
      </c>
      <c r="D734" s="193"/>
      <c r="E734" s="193"/>
      <c r="F734" s="194">
        <v>7532.3</v>
      </c>
      <c r="G734" s="194">
        <v>5486.8</v>
      </c>
      <c r="H734" s="1">
        <f t="shared" si="154"/>
        <v>591013.39</v>
      </c>
      <c r="I734" s="1">
        <v>0</v>
      </c>
      <c r="J734" s="1">
        <v>0</v>
      </c>
      <c r="K734" s="1">
        <v>0</v>
      </c>
      <c r="L734" s="1">
        <v>0</v>
      </c>
      <c r="M734" s="1">
        <v>0</v>
      </c>
      <c r="N734" s="1">
        <v>0</v>
      </c>
      <c r="O734" s="1">
        <v>591013.39</v>
      </c>
      <c r="P734" s="1">
        <v>0</v>
      </c>
      <c r="Q734" s="1">
        <v>0</v>
      </c>
      <c r="R734" s="1">
        <v>0</v>
      </c>
      <c r="S734" s="195">
        <f t="shared" si="155"/>
        <v>591013.39</v>
      </c>
      <c r="T734" s="182">
        <v>2022</v>
      </c>
      <c r="U734" s="182">
        <v>2022</v>
      </c>
    </row>
    <row r="735" spans="1:21" ht="15" customHeight="1">
      <c r="A735" s="182">
        <f t="shared" si="156"/>
        <v>33</v>
      </c>
      <c r="B735" s="191" t="s">
        <v>679</v>
      </c>
      <c r="C735" s="192">
        <v>1957</v>
      </c>
      <c r="D735" s="193"/>
      <c r="E735" s="193"/>
      <c r="F735" s="194">
        <v>3489.4</v>
      </c>
      <c r="G735" s="194">
        <v>3176.6</v>
      </c>
      <c r="H735" s="1">
        <f t="shared" si="154"/>
        <v>226918.06</v>
      </c>
      <c r="I735" s="1">
        <v>0</v>
      </c>
      <c r="J735" s="1">
        <v>0</v>
      </c>
      <c r="K735" s="1">
        <v>0</v>
      </c>
      <c r="L735" s="1">
        <v>0</v>
      </c>
      <c r="M735" s="1">
        <v>0</v>
      </c>
      <c r="N735" s="1">
        <v>0</v>
      </c>
      <c r="O735" s="1">
        <v>226918.06</v>
      </c>
      <c r="P735" s="1">
        <v>0</v>
      </c>
      <c r="Q735" s="1">
        <v>0</v>
      </c>
      <c r="R735" s="1">
        <v>0</v>
      </c>
      <c r="S735" s="195">
        <f t="shared" si="155"/>
        <v>226918.06</v>
      </c>
      <c r="T735" s="182">
        <v>2022</v>
      </c>
      <c r="U735" s="182">
        <v>2022</v>
      </c>
    </row>
    <row r="736" spans="1:21" ht="15" customHeight="1">
      <c r="A736" s="182">
        <f t="shared" si="156"/>
        <v>34</v>
      </c>
      <c r="B736" s="191" t="s">
        <v>680</v>
      </c>
      <c r="C736" s="192">
        <v>1957</v>
      </c>
      <c r="D736" s="193"/>
      <c r="E736" s="193"/>
      <c r="F736" s="194">
        <v>3393.3</v>
      </c>
      <c r="G736" s="194">
        <v>2529</v>
      </c>
      <c r="H736" s="1">
        <f t="shared" si="154"/>
        <v>293079.61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293079.61</v>
      </c>
      <c r="P736" s="1">
        <v>0</v>
      </c>
      <c r="Q736" s="1">
        <v>0</v>
      </c>
      <c r="R736" s="1">
        <v>0</v>
      </c>
      <c r="S736" s="195">
        <f t="shared" si="155"/>
        <v>293079.61</v>
      </c>
      <c r="T736" s="182">
        <v>2022</v>
      </c>
      <c r="U736" s="182">
        <v>2022</v>
      </c>
    </row>
    <row r="737" spans="1:22" ht="15.75">
      <c r="A737" s="182">
        <f t="shared" si="156"/>
        <v>35</v>
      </c>
      <c r="B737" s="191" t="s">
        <v>398</v>
      </c>
      <c r="C737" s="190">
        <v>1959</v>
      </c>
      <c r="D737" s="193"/>
      <c r="E737" s="193"/>
      <c r="F737" s="189">
        <v>4072.5</v>
      </c>
      <c r="G737" s="194">
        <v>3705.3</v>
      </c>
      <c r="H737" s="1">
        <f t="shared" si="154"/>
        <v>22472496.100000001</v>
      </c>
      <c r="I737" s="1">
        <v>0</v>
      </c>
      <c r="J737" s="1">
        <v>0</v>
      </c>
      <c r="K737" s="1">
        <f>ROUND(5975.33*G737*1.015,2)</f>
        <v>22472496.100000001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95">
        <f t="shared" si="155"/>
        <v>22472496.100000001</v>
      </c>
      <c r="T737" s="182">
        <v>2022</v>
      </c>
      <c r="U737" s="182">
        <v>2022</v>
      </c>
    </row>
    <row r="738" spans="1:22" ht="15.75">
      <c r="A738" s="79">
        <f t="shared" si="156"/>
        <v>36</v>
      </c>
      <c r="B738" s="191" t="s">
        <v>400</v>
      </c>
      <c r="C738" s="95">
        <v>1956</v>
      </c>
      <c r="D738" s="95"/>
      <c r="E738" s="95"/>
      <c r="F738" s="101">
        <v>4640.1000000000004</v>
      </c>
      <c r="G738" s="102">
        <v>4225.7</v>
      </c>
      <c r="H738" s="1">
        <f t="shared" si="154"/>
        <v>16535239.529999999</v>
      </c>
      <c r="I738" s="1">
        <v>0</v>
      </c>
      <c r="J738" s="1">
        <v>0</v>
      </c>
      <c r="K738" s="1">
        <f>ROUND(3855.19*G738*1.015,2)</f>
        <v>16535239.529999999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03">
        <f t="shared" si="155"/>
        <v>16535239.529999999</v>
      </c>
      <c r="T738" s="79">
        <v>2022</v>
      </c>
      <c r="U738" s="79">
        <v>2022</v>
      </c>
    </row>
    <row r="739" spans="1:22" ht="15.75">
      <c r="A739" s="79">
        <f t="shared" si="156"/>
        <v>37</v>
      </c>
      <c r="B739" s="191" t="s">
        <v>65</v>
      </c>
      <c r="C739" s="95">
        <v>1957</v>
      </c>
      <c r="D739" s="95"/>
      <c r="E739" s="95"/>
      <c r="F739" s="101">
        <v>3634.9</v>
      </c>
      <c r="G739" s="102">
        <v>3301.4</v>
      </c>
      <c r="H739" s="1">
        <f t="shared" si="154"/>
        <v>20022858.780000001</v>
      </c>
      <c r="I739" s="1">
        <v>0</v>
      </c>
      <c r="J739" s="1">
        <v>0</v>
      </c>
      <c r="K739" s="1">
        <f>ROUND(5975.33*G739*1.015,2)</f>
        <v>20022858.780000001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03">
        <f t="shared" si="155"/>
        <v>20022858.780000001</v>
      </c>
      <c r="T739" s="79">
        <v>2022</v>
      </c>
      <c r="U739" s="79">
        <v>2022</v>
      </c>
    </row>
    <row r="740" spans="1:22" ht="15.75">
      <c r="A740" s="79">
        <f t="shared" si="156"/>
        <v>38</v>
      </c>
      <c r="B740" s="191" t="s">
        <v>66</v>
      </c>
      <c r="C740" s="95">
        <v>1958</v>
      </c>
      <c r="D740" s="95"/>
      <c r="E740" s="95"/>
      <c r="F740" s="101">
        <v>4473.1000000000004</v>
      </c>
      <c r="G740" s="102">
        <v>3627.8</v>
      </c>
      <c r="H740" s="1">
        <f t="shared" si="154"/>
        <v>22002461.699999999</v>
      </c>
      <c r="I740" s="1">
        <v>0</v>
      </c>
      <c r="J740" s="1">
        <v>0</v>
      </c>
      <c r="K740" s="1">
        <f>ROUND(5975.33*G740*1.015,2)-0.01</f>
        <v>22002461.699999999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03">
        <f t="shared" si="155"/>
        <v>22002461.699999999</v>
      </c>
      <c r="T740" s="79">
        <v>2022</v>
      </c>
      <c r="U740" s="79">
        <v>2022</v>
      </c>
    </row>
    <row r="741" spans="1:22" ht="15.75">
      <c r="A741" s="79">
        <f t="shared" si="156"/>
        <v>39</v>
      </c>
      <c r="B741" s="191" t="s">
        <v>681</v>
      </c>
      <c r="C741" s="95">
        <v>1959</v>
      </c>
      <c r="D741" s="100"/>
      <c r="E741" s="100"/>
      <c r="F741" s="101">
        <v>3685</v>
      </c>
      <c r="G741" s="102">
        <v>3629</v>
      </c>
      <c r="H741" s="1">
        <f t="shared" si="154"/>
        <v>486542.3</v>
      </c>
      <c r="I741" s="1">
        <v>0</v>
      </c>
      <c r="J741" s="1">
        <v>0</v>
      </c>
      <c r="K741" s="1">
        <v>0</v>
      </c>
      <c r="L741" s="1">
        <v>0</v>
      </c>
      <c r="M741" s="1">
        <v>0</v>
      </c>
      <c r="N741" s="1">
        <v>0</v>
      </c>
      <c r="O741" s="1">
        <v>486542.3</v>
      </c>
      <c r="P741" s="1">
        <v>0</v>
      </c>
      <c r="Q741" s="1">
        <v>0</v>
      </c>
      <c r="R741" s="1">
        <v>0</v>
      </c>
      <c r="S741" s="103">
        <f t="shared" si="155"/>
        <v>486542.3</v>
      </c>
      <c r="T741" s="79">
        <v>2022</v>
      </c>
      <c r="U741" s="79">
        <v>2022</v>
      </c>
    </row>
    <row r="742" spans="1:22" ht="15.75">
      <c r="A742" s="79">
        <f t="shared" si="156"/>
        <v>40</v>
      </c>
      <c r="B742" s="255" t="s">
        <v>682</v>
      </c>
      <c r="C742" s="81">
        <v>1960</v>
      </c>
      <c r="D742" s="100"/>
      <c r="E742" s="100"/>
      <c r="F742" s="101">
        <v>1972.2</v>
      </c>
      <c r="G742" s="102">
        <v>1593.1</v>
      </c>
      <c r="H742" s="1">
        <f t="shared" si="154"/>
        <v>239943.02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239943.02</v>
      </c>
      <c r="P742" s="1">
        <v>0</v>
      </c>
      <c r="Q742" s="1">
        <v>0</v>
      </c>
      <c r="R742" s="1">
        <v>0</v>
      </c>
      <c r="S742" s="103">
        <f t="shared" si="155"/>
        <v>239943.02</v>
      </c>
      <c r="T742" s="79">
        <v>2022</v>
      </c>
      <c r="U742" s="79">
        <v>2022</v>
      </c>
    </row>
    <row r="743" spans="1:22" ht="18.75">
      <c r="A743" s="79">
        <f t="shared" si="156"/>
        <v>41</v>
      </c>
      <c r="B743" s="191" t="s">
        <v>67</v>
      </c>
      <c r="C743" s="154">
        <v>1963</v>
      </c>
      <c r="D743" s="100"/>
      <c r="E743" s="100"/>
      <c r="F743" s="101">
        <v>3062.4</v>
      </c>
      <c r="G743" s="102">
        <v>2914.7</v>
      </c>
      <c r="H743" s="30">
        <f t="shared" si="154"/>
        <v>6791882.6200000001</v>
      </c>
      <c r="I743" s="1">
        <v>0</v>
      </c>
      <c r="J743" s="1">
        <v>0</v>
      </c>
      <c r="K743" s="1">
        <v>0</v>
      </c>
      <c r="L743" s="1">
        <v>0</v>
      </c>
      <c r="M743" s="1">
        <f>ROUND(2295.78*G743*1.015,2)</f>
        <v>6791882.6200000001</v>
      </c>
      <c r="N743" s="1">
        <v>0</v>
      </c>
      <c r="O743" s="49">
        <v>0</v>
      </c>
      <c r="P743" s="1">
        <v>0</v>
      </c>
      <c r="Q743" s="1">
        <v>0</v>
      </c>
      <c r="R743" s="1">
        <v>0</v>
      </c>
      <c r="S743" s="103">
        <f t="shared" si="155"/>
        <v>6791882.6200000001</v>
      </c>
      <c r="T743" s="79">
        <v>2020</v>
      </c>
      <c r="U743" s="79">
        <v>2022</v>
      </c>
    </row>
    <row r="744" spans="1:22" ht="15.75">
      <c r="A744" s="290" t="s">
        <v>606</v>
      </c>
      <c r="B744" s="290"/>
      <c r="C744" s="81"/>
      <c r="D744" s="79"/>
      <c r="E744" s="79"/>
      <c r="F744" s="14">
        <f t="shared" ref="F744:S744" si="157">SUM(F731:F743)</f>
        <v>46723.3</v>
      </c>
      <c r="G744" s="14">
        <f t="shared" si="157"/>
        <v>39755</v>
      </c>
      <c r="H744" s="15">
        <f t="shared" si="157"/>
        <v>108610332.65000001</v>
      </c>
      <c r="I744" s="15">
        <f t="shared" si="157"/>
        <v>0</v>
      </c>
      <c r="J744" s="15">
        <f t="shared" si="157"/>
        <v>0</v>
      </c>
      <c r="K744" s="15">
        <f t="shared" si="157"/>
        <v>90634059.420000002</v>
      </c>
      <c r="L744" s="15">
        <f t="shared" si="157"/>
        <v>0</v>
      </c>
      <c r="M744" s="15">
        <f t="shared" si="157"/>
        <v>15835920.109999999</v>
      </c>
      <c r="N744" s="15">
        <f t="shared" si="157"/>
        <v>0</v>
      </c>
      <c r="O744" s="15">
        <f t="shared" si="157"/>
        <v>2140353.12</v>
      </c>
      <c r="P744" s="15">
        <f t="shared" si="157"/>
        <v>0</v>
      </c>
      <c r="Q744" s="15">
        <f t="shared" si="157"/>
        <v>0</v>
      </c>
      <c r="R744" s="15">
        <f t="shared" si="157"/>
        <v>0</v>
      </c>
      <c r="S744" s="15">
        <f t="shared" si="157"/>
        <v>108610332.65000001</v>
      </c>
      <c r="T744" s="16" t="s">
        <v>31</v>
      </c>
      <c r="U744" s="16" t="s">
        <v>31</v>
      </c>
    </row>
    <row r="745" spans="1:22" ht="15.75">
      <c r="A745" s="289" t="s">
        <v>401</v>
      </c>
      <c r="B745" s="289"/>
      <c r="C745" s="289"/>
      <c r="D745" s="289"/>
      <c r="E745" s="289"/>
      <c r="F745" s="289"/>
      <c r="G745" s="289"/>
      <c r="H745" s="289"/>
      <c r="I745" s="289"/>
      <c r="J745" s="289"/>
      <c r="K745" s="289"/>
      <c r="L745" s="289"/>
      <c r="M745" s="289"/>
      <c r="N745" s="289"/>
      <c r="O745" s="289"/>
      <c r="P745" s="289"/>
      <c r="Q745" s="289"/>
      <c r="R745" s="289"/>
      <c r="S745" s="289"/>
      <c r="T745" s="289"/>
      <c r="U745" s="289"/>
    </row>
    <row r="746" spans="1:22" ht="15.75">
      <c r="A746" s="79">
        <f>A743+1</f>
        <v>42</v>
      </c>
      <c r="B746" s="186" t="s">
        <v>403</v>
      </c>
      <c r="C746" s="95">
        <v>1956</v>
      </c>
      <c r="D746" s="89"/>
      <c r="E746" s="89"/>
      <c r="F746" s="90">
        <v>1038.0999999999999</v>
      </c>
      <c r="G746" s="90">
        <v>920.9</v>
      </c>
      <c r="H746" s="1">
        <f t="shared" ref="H746:H758" si="158">I746+J746+K746+L746+M746+N746+O746</f>
        <v>3538346.44</v>
      </c>
      <c r="I746" s="1">
        <v>0</v>
      </c>
      <c r="J746" s="1">
        <v>0</v>
      </c>
      <c r="K746" s="1">
        <v>0</v>
      </c>
      <c r="L746" s="1">
        <v>0</v>
      </c>
      <c r="M746" s="1">
        <f>3101949.56*1.015</f>
        <v>3148478.8</v>
      </c>
      <c r="N746" s="1">
        <v>0</v>
      </c>
      <c r="O746" s="1">
        <v>389867.64</v>
      </c>
      <c r="P746" s="1">
        <v>0</v>
      </c>
      <c r="Q746" s="1">
        <v>0</v>
      </c>
      <c r="R746" s="1">
        <v>0</v>
      </c>
      <c r="S746" s="1">
        <f>H746</f>
        <v>3538346.44</v>
      </c>
      <c r="T746" s="79">
        <v>2021</v>
      </c>
      <c r="U746" s="79">
        <v>2022</v>
      </c>
    </row>
    <row r="747" spans="1:22" ht="15.75">
      <c r="A747" s="79">
        <f t="shared" ref="A747:A758" si="159">A746+1</f>
        <v>43</v>
      </c>
      <c r="B747" s="186" t="s">
        <v>684</v>
      </c>
      <c r="C747" s="95">
        <v>1967</v>
      </c>
      <c r="D747" s="79"/>
      <c r="E747" s="106"/>
      <c r="F747" s="90">
        <v>4010.6</v>
      </c>
      <c r="G747" s="90">
        <v>3666.4</v>
      </c>
      <c r="H747" s="1">
        <f t="shared" si="158"/>
        <v>38479014.07</v>
      </c>
      <c r="I747" s="127">
        <f>ROUND((20251253.8)*1.015,2)</f>
        <v>20555022.609999999</v>
      </c>
      <c r="J747" s="1">
        <v>0</v>
      </c>
      <c r="K747" s="1">
        <f>ROUND(16440511.34*1.015,2)</f>
        <v>16687119.01</v>
      </c>
      <c r="L747" s="1">
        <v>0</v>
      </c>
      <c r="M747" s="1">
        <v>0</v>
      </c>
      <c r="N747" s="1">
        <v>0</v>
      </c>
      <c r="O747" s="1">
        <v>1236872.45</v>
      </c>
      <c r="P747" s="1">
        <v>0</v>
      </c>
      <c r="Q747" s="1">
        <v>0</v>
      </c>
      <c r="R747" s="1">
        <v>1526705.16</v>
      </c>
      <c r="S747" s="1">
        <v>36952308.909999996</v>
      </c>
      <c r="T747" s="79">
        <v>2022</v>
      </c>
      <c r="U747" s="79">
        <v>2022</v>
      </c>
    </row>
    <row r="748" spans="1:22" ht="15.75">
      <c r="A748" s="79">
        <f t="shared" si="159"/>
        <v>44</v>
      </c>
      <c r="B748" s="186" t="s">
        <v>815</v>
      </c>
      <c r="C748" s="95">
        <v>1968</v>
      </c>
      <c r="D748" s="89"/>
      <c r="E748" s="89"/>
      <c r="F748" s="90">
        <v>3646.2</v>
      </c>
      <c r="G748" s="90">
        <v>3373.2</v>
      </c>
      <c r="H748" s="1">
        <f t="shared" si="158"/>
        <v>12838493.289999999</v>
      </c>
      <c r="I748" s="1">
        <f>631365.24+131490.55+12075637.5</f>
        <v>12838493.289999999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11298654.23</v>
      </c>
      <c r="R748" s="1">
        <v>903635.79</v>
      </c>
      <c r="S748" s="1">
        <f>631365.24+4838.03</f>
        <v>636203.27</v>
      </c>
      <c r="T748" s="79">
        <v>2022</v>
      </c>
      <c r="U748" s="79">
        <v>2022</v>
      </c>
    </row>
    <row r="749" spans="1:22" ht="15.75">
      <c r="A749" s="79">
        <f t="shared" si="159"/>
        <v>45</v>
      </c>
      <c r="B749" s="186" t="s">
        <v>685</v>
      </c>
      <c r="C749" s="95">
        <v>1970</v>
      </c>
      <c r="D749" s="89"/>
      <c r="E749" s="89"/>
      <c r="F749" s="90">
        <v>1726.6</v>
      </c>
      <c r="G749" s="90">
        <v>1592.6</v>
      </c>
      <c r="H749" s="1">
        <f t="shared" si="158"/>
        <v>18068386.539999999</v>
      </c>
      <c r="I749" s="127">
        <f>ROUND((912781.2+850991.45+0+6029494.6+2464188.41)*1.015,2)</f>
        <v>10411317.49</v>
      </c>
      <c r="J749" s="1">
        <v>0</v>
      </c>
      <c r="K749" s="1">
        <f>ROUND(6677850.14*1.015,2)</f>
        <v>6778017.8899999997</v>
      </c>
      <c r="L749" s="1">
        <v>0</v>
      </c>
      <c r="M749" s="1">
        <v>0</v>
      </c>
      <c r="N749" s="1">
        <v>0</v>
      </c>
      <c r="O749" s="1">
        <v>879051.16</v>
      </c>
      <c r="P749" s="1">
        <v>0</v>
      </c>
      <c r="Q749" s="1"/>
      <c r="R749" s="1">
        <v>660578.22</v>
      </c>
      <c r="S749" s="1">
        <v>17407808.32</v>
      </c>
      <c r="T749" s="79">
        <v>2022</v>
      </c>
      <c r="U749" s="79">
        <v>2022</v>
      </c>
      <c r="V749" s="50"/>
    </row>
    <row r="750" spans="1:22" ht="15.75">
      <c r="A750" s="79">
        <f t="shared" si="159"/>
        <v>46</v>
      </c>
      <c r="B750" s="186" t="s">
        <v>683</v>
      </c>
      <c r="C750" s="95">
        <v>1963</v>
      </c>
      <c r="D750" s="79"/>
      <c r="E750" s="106"/>
      <c r="F750" s="90">
        <v>2732.5</v>
      </c>
      <c r="G750" s="90">
        <v>2538.6999999999998</v>
      </c>
      <c r="H750" s="1">
        <f t="shared" si="158"/>
        <v>21653397.620000001</v>
      </c>
      <c r="I750" s="127">
        <f>ROUND((1519420.56+1420924+1532951.95+7758774.29+2464188.41)*1.015,2)</f>
        <v>14916703.1</v>
      </c>
      <c r="J750" s="1">
        <v>0</v>
      </c>
      <c r="K750" s="1">
        <f>ROUND(5552314.56*1.015,2)</f>
        <v>5635599.2800000003</v>
      </c>
      <c r="L750" s="1">
        <v>0</v>
      </c>
      <c r="M750" s="1">
        <v>0</v>
      </c>
      <c r="N750" s="1">
        <v>0</v>
      </c>
      <c r="O750" s="1">
        <v>1101095.24</v>
      </c>
      <c r="P750" s="1">
        <v>0</v>
      </c>
      <c r="Q750" s="1"/>
      <c r="R750" s="1">
        <v>812716.62</v>
      </c>
      <c r="S750" s="1">
        <v>20840681</v>
      </c>
      <c r="T750" s="79">
        <v>2022</v>
      </c>
      <c r="U750" s="79">
        <v>2022</v>
      </c>
      <c r="V750" s="50"/>
    </row>
    <row r="751" spans="1:22" ht="15.75">
      <c r="A751" s="79">
        <f t="shared" si="159"/>
        <v>47</v>
      </c>
      <c r="B751" s="186" t="s">
        <v>686</v>
      </c>
      <c r="C751" s="95" t="s">
        <v>687</v>
      </c>
      <c r="D751" s="89"/>
      <c r="E751" s="89"/>
      <c r="F751" s="90">
        <v>14474.1</v>
      </c>
      <c r="G751" s="90">
        <v>12443.8</v>
      </c>
      <c r="H751" s="1">
        <f t="shared" si="158"/>
        <v>3652291.24</v>
      </c>
      <c r="I751" s="1">
        <v>0</v>
      </c>
      <c r="J751" s="1">
        <f>3486082.44*1.015</f>
        <v>3538373.68</v>
      </c>
      <c r="K751" s="1">
        <v>0</v>
      </c>
      <c r="L751" s="1">
        <v>0</v>
      </c>
      <c r="M751" s="1">
        <v>0</v>
      </c>
      <c r="N751" s="1">
        <v>0</v>
      </c>
      <c r="O751" s="1">
        <v>113917.56</v>
      </c>
      <c r="P751" s="1">
        <v>0</v>
      </c>
      <c r="Q751" s="1"/>
      <c r="R751" s="1">
        <v>0</v>
      </c>
      <c r="S751" s="1">
        <f>H751-R751</f>
        <v>3652291.24</v>
      </c>
      <c r="T751" s="79">
        <v>2022</v>
      </c>
      <c r="U751" s="79">
        <v>2022</v>
      </c>
    </row>
    <row r="752" spans="1:22" ht="18" customHeight="1">
      <c r="A752" s="79">
        <f t="shared" si="159"/>
        <v>48</v>
      </c>
      <c r="B752" s="186" t="s">
        <v>816</v>
      </c>
      <c r="C752" s="95">
        <v>1958</v>
      </c>
      <c r="D752" s="89"/>
      <c r="E752" s="89"/>
      <c r="F752" s="90">
        <v>1465.1</v>
      </c>
      <c r="G752" s="90">
        <v>1353.5</v>
      </c>
      <c r="H752" s="1">
        <f t="shared" si="158"/>
        <v>7690230.29</v>
      </c>
      <c r="I752" s="1">
        <f>7615389.06+74841.23</f>
        <v>7690230.29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</v>
      </c>
      <c r="Q752" s="1">
        <v>6556329.3700000001</v>
      </c>
      <c r="R752" s="1">
        <v>524357.48</v>
      </c>
      <c r="S752" s="1">
        <v>609543.43999999994</v>
      </c>
      <c r="T752" s="79">
        <v>2022</v>
      </c>
      <c r="U752" s="79">
        <v>2022</v>
      </c>
    </row>
    <row r="753" spans="1:22" ht="15.75">
      <c r="A753" s="79">
        <f t="shared" si="159"/>
        <v>49</v>
      </c>
      <c r="B753" s="186" t="s">
        <v>83</v>
      </c>
      <c r="C753" s="95">
        <v>1948</v>
      </c>
      <c r="D753" s="89"/>
      <c r="E753" s="89"/>
      <c r="F753" s="90">
        <v>1134.4000000000001</v>
      </c>
      <c r="G753" s="90">
        <v>1036.5</v>
      </c>
      <c r="H753" s="1">
        <f t="shared" si="158"/>
        <v>5233854.6900000004</v>
      </c>
      <c r="I753" s="1">
        <f>5191127.1+42727.59</f>
        <v>5233854.6900000004</v>
      </c>
      <c r="J753" s="1">
        <v>0</v>
      </c>
      <c r="K753" s="1">
        <v>0</v>
      </c>
      <c r="L753" s="1">
        <v>0</v>
      </c>
      <c r="M753" s="1">
        <v>0</v>
      </c>
      <c r="N753" s="1">
        <v>0</v>
      </c>
      <c r="O753" s="1">
        <v>0</v>
      </c>
      <c r="P753" s="1">
        <v>0</v>
      </c>
      <c r="Q753" s="1">
        <v>4431118.4000000004</v>
      </c>
      <c r="R753" s="1">
        <v>354388.86</v>
      </c>
      <c r="S753" s="1">
        <f>444981.99+3365.44</f>
        <v>448347.43</v>
      </c>
      <c r="T753" s="79">
        <v>2022</v>
      </c>
      <c r="U753" s="79">
        <v>2022</v>
      </c>
    </row>
    <row r="754" spans="1:22" ht="15.75">
      <c r="A754" s="79">
        <f t="shared" si="159"/>
        <v>50</v>
      </c>
      <c r="B754" s="186" t="s">
        <v>1043</v>
      </c>
      <c r="C754" s="95">
        <v>1953</v>
      </c>
      <c r="D754" s="89"/>
      <c r="E754" s="89"/>
      <c r="F754" s="90"/>
      <c r="G754" s="90">
        <v>4302.7</v>
      </c>
      <c r="H754" s="1">
        <f t="shared" si="158"/>
        <v>4107798.55</v>
      </c>
      <c r="I754" s="1"/>
      <c r="J754" s="1"/>
      <c r="K754" s="1"/>
      <c r="L754" s="1">
        <v>3841245.83</v>
      </c>
      <c r="M754" s="1"/>
      <c r="N754" s="1"/>
      <c r="O754" s="1">
        <v>266552.71999999997</v>
      </c>
      <c r="P754" s="1"/>
      <c r="Q754" s="1">
        <f>O754+L754</f>
        <v>4107798.55</v>
      </c>
      <c r="R754" s="1"/>
      <c r="S754" s="1"/>
      <c r="T754" s="79">
        <v>2022</v>
      </c>
      <c r="U754" s="79">
        <v>2023</v>
      </c>
      <c r="V754" s="156"/>
    </row>
    <row r="755" spans="1:22" ht="15.75">
      <c r="A755" s="79">
        <f t="shared" si="159"/>
        <v>51</v>
      </c>
      <c r="B755" s="186" t="s">
        <v>1044</v>
      </c>
      <c r="C755" s="95">
        <v>1952</v>
      </c>
      <c r="D755" s="89"/>
      <c r="E755" s="89"/>
      <c r="F755" s="90"/>
      <c r="G755" s="90">
        <v>3293.2</v>
      </c>
      <c r="H755" s="1">
        <f t="shared" si="158"/>
        <v>3436308.36</v>
      </c>
      <c r="I755" s="1">
        <v>3213328.26</v>
      </c>
      <c r="J755" s="1"/>
      <c r="K755" s="1"/>
      <c r="L755" s="1"/>
      <c r="M755" s="1"/>
      <c r="N755" s="1"/>
      <c r="O755" s="1">
        <v>222980.1</v>
      </c>
      <c r="P755" s="1"/>
      <c r="Q755" s="1">
        <f>O755+I755+L755</f>
        <v>3436308.36</v>
      </c>
      <c r="R755" s="1"/>
      <c r="S755" s="1"/>
      <c r="T755" s="79">
        <v>2022</v>
      </c>
      <c r="U755" s="79">
        <v>2023</v>
      </c>
      <c r="V755" s="156"/>
    </row>
    <row r="756" spans="1:22" ht="15.75">
      <c r="A756" s="79">
        <f t="shared" si="159"/>
        <v>52</v>
      </c>
      <c r="B756" s="186" t="s">
        <v>1036</v>
      </c>
      <c r="C756" s="95">
        <v>1955</v>
      </c>
      <c r="D756" s="89"/>
      <c r="E756" s="89"/>
      <c r="F756" s="90"/>
      <c r="G756" s="90">
        <v>4564</v>
      </c>
      <c r="H756" s="1">
        <f t="shared" si="158"/>
        <v>58063203.25</v>
      </c>
      <c r="I756" s="1"/>
      <c r="J756" s="1"/>
      <c r="K756" s="1">
        <v>26482580.539999999</v>
      </c>
      <c r="L756" s="1"/>
      <c r="M756" s="1">
        <v>28880879.370000001</v>
      </c>
      <c r="N756" s="1"/>
      <c r="O756" s="1">
        <v>2699743.34</v>
      </c>
      <c r="P756" s="1"/>
      <c r="Q756" s="1">
        <f>O756+M756+K756</f>
        <v>58063203.25</v>
      </c>
      <c r="R756" s="1"/>
      <c r="S756" s="1"/>
      <c r="T756" s="79">
        <v>2022</v>
      </c>
      <c r="U756" s="79">
        <v>2023</v>
      </c>
    </row>
    <row r="757" spans="1:22" ht="15.75">
      <c r="A757" s="79">
        <f t="shared" si="159"/>
        <v>53</v>
      </c>
      <c r="B757" s="186" t="s">
        <v>407</v>
      </c>
      <c r="C757" s="95">
        <v>1977</v>
      </c>
      <c r="D757" s="89"/>
      <c r="E757" s="89"/>
      <c r="F757" s="90">
        <v>3926.8</v>
      </c>
      <c r="G757" s="90">
        <v>3438.6</v>
      </c>
      <c r="H757" s="1">
        <f t="shared" si="158"/>
        <v>34404759.659999996</v>
      </c>
      <c r="I757" s="1">
        <f>ROUND((22521112.59)*1.015,2)</f>
        <v>22858929.280000001</v>
      </c>
      <c r="J757" s="1">
        <v>0</v>
      </c>
      <c r="K757" s="1">
        <f>ROUND(11375202.34*1.015,2)</f>
        <v>11545830.380000001</v>
      </c>
      <c r="L757" s="1">
        <v>0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f>H757-R757</f>
        <v>34404759.659999996</v>
      </c>
      <c r="T757" s="79">
        <v>2022</v>
      </c>
      <c r="U757" s="79">
        <v>2022</v>
      </c>
    </row>
    <row r="758" spans="1:22" ht="15.75">
      <c r="A758" s="79">
        <f t="shared" si="159"/>
        <v>54</v>
      </c>
      <c r="B758" s="186" t="s">
        <v>408</v>
      </c>
      <c r="C758" s="95">
        <v>1976</v>
      </c>
      <c r="D758" s="89"/>
      <c r="E758" s="89"/>
      <c r="F758" s="90">
        <v>3924.6</v>
      </c>
      <c r="G758" s="90">
        <v>3443.8</v>
      </c>
      <c r="H758" s="1">
        <f t="shared" si="158"/>
        <v>34508431.43</v>
      </c>
      <c r="I758" s="1">
        <f>ROUND((22578775.75)*1.015,2)+0.01</f>
        <v>22917457.399999999</v>
      </c>
      <c r="J758" s="1">
        <v>0</v>
      </c>
      <c r="K758" s="1">
        <f>ROUND(11419678.85*1.015,2)</f>
        <v>11590974.029999999</v>
      </c>
      <c r="L758" s="1">
        <v>0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0</v>
      </c>
      <c r="S758" s="1">
        <f>H758-R758</f>
        <v>34508431.43</v>
      </c>
      <c r="T758" s="79">
        <v>2022</v>
      </c>
      <c r="U758" s="79">
        <v>2022</v>
      </c>
    </row>
    <row r="759" spans="1:22" ht="15.75">
      <c r="A759" s="290" t="s">
        <v>606</v>
      </c>
      <c r="B759" s="290"/>
      <c r="C759" s="81"/>
      <c r="D759" s="79"/>
      <c r="E759" s="79"/>
      <c r="F759" s="14">
        <f t="shared" ref="F759:K759" si="160">SUM(F746:F758)</f>
        <v>38079</v>
      </c>
      <c r="G759" s="14">
        <f t="shared" si="160"/>
        <v>45967.9</v>
      </c>
      <c r="H759" s="27">
        <f t="shared" si="160"/>
        <v>245674515.43000001</v>
      </c>
      <c r="I759" s="27">
        <f t="shared" si="160"/>
        <v>120635336.41</v>
      </c>
      <c r="J759" s="27">
        <f t="shared" si="160"/>
        <v>3538373.68</v>
      </c>
      <c r="K759" s="27">
        <f t="shared" si="160"/>
        <v>78720121.129999995</v>
      </c>
      <c r="L759" s="15">
        <f>SUM(L747:L758)</f>
        <v>3841245.83</v>
      </c>
      <c r="M759" s="15">
        <f t="shared" ref="M759:S759" si="161">SUM(M746:M758)</f>
        <v>32029358.170000002</v>
      </c>
      <c r="N759" s="15">
        <f t="shared" si="161"/>
        <v>0</v>
      </c>
      <c r="O759" s="27">
        <f t="shared" si="161"/>
        <v>6910080.21</v>
      </c>
      <c r="P759" s="15">
        <f t="shared" si="161"/>
        <v>0</v>
      </c>
      <c r="Q759" s="15">
        <f t="shared" si="161"/>
        <v>87893412.159999996</v>
      </c>
      <c r="R759" s="15">
        <f t="shared" si="161"/>
        <v>4782382.13</v>
      </c>
      <c r="S759" s="27">
        <f t="shared" si="161"/>
        <v>152998721.13999999</v>
      </c>
      <c r="T759" s="16" t="s">
        <v>31</v>
      </c>
      <c r="U759" s="16" t="s">
        <v>31</v>
      </c>
      <c r="V759" s="17">
        <f>SUM(V746:V758)</f>
        <v>0</v>
      </c>
    </row>
    <row r="760" spans="1:22" ht="15.75">
      <c r="A760" s="289" t="s">
        <v>688</v>
      </c>
      <c r="B760" s="289"/>
      <c r="C760" s="289"/>
      <c r="D760" s="289"/>
      <c r="E760" s="289"/>
      <c r="F760" s="289"/>
      <c r="G760" s="289"/>
      <c r="H760" s="289"/>
      <c r="I760" s="289"/>
      <c r="J760" s="289"/>
      <c r="K760" s="289"/>
      <c r="L760" s="289"/>
      <c r="M760" s="289"/>
      <c r="N760" s="289"/>
      <c r="O760" s="289"/>
      <c r="P760" s="289"/>
      <c r="Q760" s="289"/>
      <c r="R760" s="289"/>
      <c r="S760" s="289"/>
      <c r="T760" s="289"/>
      <c r="U760" s="289"/>
    </row>
    <row r="761" spans="1:22" ht="15.75">
      <c r="A761" s="79">
        <f>A758+1</f>
        <v>55</v>
      </c>
      <c r="B761" s="186" t="s">
        <v>504</v>
      </c>
      <c r="C761" s="81">
        <v>1977</v>
      </c>
      <c r="D761" s="79"/>
      <c r="E761" s="79"/>
      <c r="F761" s="101">
        <v>8918</v>
      </c>
      <c r="G761" s="101">
        <v>7669.8</v>
      </c>
      <c r="H761" s="4">
        <f t="shared" ref="H761:H822" si="162">I761+J761+K761+L761+M761+N761+O761</f>
        <v>1439410.51</v>
      </c>
      <c r="I761" s="1">
        <f t="shared" ref="I761:I766" si="163">ROUND(1197448.78*1.015,2)</f>
        <v>1215410.51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224000</v>
      </c>
      <c r="P761" s="1">
        <v>0</v>
      </c>
      <c r="Q761" s="1">
        <f t="shared" ref="Q761:Q766" si="164">H761</f>
        <v>1439410.51</v>
      </c>
      <c r="R761" s="1">
        <v>0</v>
      </c>
      <c r="S761" s="1">
        <v>0</v>
      </c>
      <c r="T761" s="79">
        <v>2021</v>
      </c>
      <c r="U761" s="79">
        <v>2022</v>
      </c>
    </row>
    <row r="762" spans="1:22" ht="15.75">
      <c r="A762" s="79">
        <f t="shared" ref="A762:A823" si="165">A761+1</f>
        <v>56</v>
      </c>
      <c r="B762" s="186" t="s">
        <v>505</v>
      </c>
      <c r="C762" s="81">
        <v>1964</v>
      </c>
      <c r="D762" s="79"/>
      <c r="E762" s="79"/>
      <c r="F762" s="101">
        <v>3462.4</v>
      </c>
      <c r="G762" s="101">
        <v>3212.4</v>
      </c>
      <c r="H762" s="4">
        <f t="shared" si="162"/>
        <v>1439410.51</v>
      </c>
      <c r="I762" s="1">
        <f t="shared" si="163"/>
        <v>1215410.51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224000</v>
      </c>
      <c r="P762" s="1">
        <v>0</v>
      </c>
      <c r="Q762" s="1">
        <f t="shared" si="164"/>
        <v>1439410.51</v>
      </c>
      <c r="R762" s="1">
        <v>0</v>
      </c>
      <c r="S762" s="1">
        <v>0</v>
      </c>
      <c r="T762" s="79">
        <v>2021</v>
      </c>
      <c r="U762" s="79">
        <v>2022</v>
      </c>
    </row>
    <row r="763" spans="1:22" ht="15.75">
      <c r="A763" s="79">
        <f t="shared" si="165"/>
        <v>57</v>
      </c>
      <c r="B763" s="186" t="s">
        <v>506</v>
      </c>
      <c r="C763" s="81">
        <v>1964</v>
      </c>
      <c r="D763" s="79"/>
      <c r="E763" s="79"/>
      <c r="F763" s="101">
        <v>3478.5</v>
      </c>
      <c r="G763" s="101">
        <v>3224.3</v>
      </c>
      <c r="H763" s="4">
        <f t="shared" si="162"/>
        <v>1439410.51</v>
      </c>
      <c r="I763" s="1">
        <f t="shared" si="163"/>
        <v>1215410.51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224000</v>
      </c>
      <c r="P763" s="1">
        <v>0</v>
      </c>
      <c r="Q763" s="1">
        <f t="shared" si="164"/>
        <v>1439410.51</v>
      </c>
      <c r="R763" s="1">
        <v>0</v>
      </c>
      <c r="S763" s="1">
        <v>0</v>
      </c>
      <c r="T763" s="79">
        <v>2021</v>
      </c>
      <c r="U763" s="79">
        <v>2022</v>
      </c>
    </row>
    <row r="764" spans="1:22" ht="15.75">
      <c r="A764" s="79">
        <f t="shared" si="165"/>
        <v>58</v>
      </c>
      <c r="B764" s="199" t="s">
        <v>507</v>
      </c>
      <c r="C764" s="132">
        <v>1965</v>
      </c>
      <c r="D764" s="128"/>
      <c r="E764" s="128"/>
      <c r="F764" s="133">
        <v>5257.2</v>
      </c>
      <c r="G764" s="133">
        <v>4878.3</v>
      </c>
      <c r="H764" s="4">
        <f t="shared" si="162"/>
        <v>1439410.51</v>
      </c>
      <c r="I764" s="6">
        <f t="shared" si="163"/>
        <v>1215410.51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224000</v>
      </c>
      <c r="P764" s="6">
        <v>0</v>
      </c>
      <c r="Q764" s="6">
        <f t="shared" si="164"/>
        <v>1439410.51</v>
      </c>
      <c r="R764" s="6">
        <v>0</v>
      </c>
      <c r="S764" s="6">
        <v>0</v>
      </c>
      <c r="T764" s="128">
        <v>2021</v>
      </c>
      <c r="U764" s="128">
        <v>2022</v>
      </c>
    </row>
    <row r="765" spans="1:22" ht="15.75">
      <c r="A765" s="79">
        <f t="shared" si="165"/>
        <v>59</v>
      </c>
      <c r="B765" s="186" t="s">
        <v>503</v>
      </c>
      <c r="C765" s="81">
        <v>1962</v>
      </c>
      <c r="D765" s="79"/>
      <c r="E765" s="79"/>
      <c r="F765" s="101">
        <v>2210.6999999999998</v>
      </c>
      <c r="G765" s="101">
        <v>2048.1</v>
      </c>
      <c r="H765" s="4">
        <f t="shared" si="162"/>
        <v>1439410.51</v>
      </c>
      <c r="I765" s="1">
        <f t="shared" si="163"/>
        <v>1215410.51</v>
      </c>
      <c r="J765" s="1">
        <v>0</v>
      </c>
      <c r="K765" s="1">
        <v>0</v>
      </c>
      <c r="L765" s="1">
        <v>0</v>
      </c>
      <c r="M765" s="1">
        <v>0</v>
      </c>
      <c r="N765" s="1">
        <v>0</v>
      </c>
      <c r="O765" s="1">
        <v>224000</v>
      </c>
      <c r="P765" s="1">
        <v>0</v>
      </c>
      <c r="Q765" s="1">
        <f t="shared" si="164"/>
        <v>1439410.51</v>
      </c>
      <c r="R765" s="1">
        <v>0</v>
      </c>
      <c r="S765" s="1">
        <v>0</v>
      </c>
      <c r="T765" s="79">
        <v>2021</v>
      </c>
      <c r="U765" s="79">
        <v>2022</v>
      </c>
    </row>
    <row r="766" spans="1:22" ht="15.75">
      <c r="A766" s="79">
        <f t="shared" si="165"/>
        <v>60</v>
      </c>
      <c r="B766" s="186" t="s">
        <v>502</v>
      </c>
      <c r="C766" s="81">
        <v>1983</v>
      </c>
      <c r="D766" s="79"/>
      <c r="E766" s="79"/>
      <c r="F766" s="101">
        <v>4460</v>
      </c>
      <c r="G766" s="101">
        <v>3865.4</v>
      </c>
      <c r="H766" s="4">
        <f t="shared" si="162"/>
        <v>1439410.51</v>
      </c>
      <c r="I766" s="1">
        <f t="shared" si="163"/>
        <v>1215410.51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224000</v>
      </c>
      <c r="P766" s="1">
        <v>0</v>
      </c>
      <c r="Q766" s="1">
        <f t="shared" si="164"/>
        <v>1439410.51</v>
      </c>
      <c r="R766" s="1">
        <v>0</v>
      </c>
      <c r="S766" s="1">
        <v>0</v>
      </c>
      <c r="T766" s="79">
        <v>2021</v>
      </c>
      <c r="U766" s="79">
        <v>2022</v>
      </c>
    </row>
    <row r="767" spans="1:22" ht="15.75">
      <c r="A767" s="79">
        <f t="shared" si="165"/>
        <v>61</v>
      </c>
      <c r="B767" s="186" t="s">
        <v>491</v>
      </c>
      <c r="C767" s="81">
        <v>1961</v>
      </c>
      <c r="D767" s="79"/>
      <c r="E767" s="79"/>
      <c r="F767" s="92">
        <v>1571.2</v>
      </c>
      <c r="G767" s="92">
        <v>1571.2</v>
      </c>
      <c r="H767" s="1">
        <f t="shared" si="162"/>
        <v>8310933.3399999999</v>
      </c>
      <c r="I767" s="1">
        <v>0</v>
      </c>
      <c r="J767" s="1">
        <v>0</v>
      </c>
      <c r="K767" s="1">
        <v>7605459.7800000003</v>
      </c>
      <c r="L767" s="1">
        <v>0</v>
      </c>
      <c r="M767" s="1">
        <v>0</v>
      </c>
      <c r="N767" s="1">
        <v>0</v>
      </c>
      <c r="O767" s="1">
        <v>705473.56</v>
      </c>
      <c r="P767" s="1">
        <v>0</v>
      </c>
      <c r="Q767" s="1">
        <v>0</v>
      </c>
      <c r="R767" s="1">
        <v>0</v>
      </c>
      <c r="S767" s="1">
        <f t="shared" ref="S767:S774" si="166">H767</f>
        <v>8310933.3399999999</v>
      </c>
      <c r="T767" s="79">
        <v>2021</v>
      </c>
      <c r="U767" s="79">
        <v>2022</v>
      </c>
    </row>
    <row r="768" spans="1:22" ht="15.75">
      <c r="A768" s="79">
        <f t="shared" si="165"/>
        <v>62</v>
      </c>
      <c r="B768" s="186" t="s">
        <v>490</v>
      </c>
      <c r="C768" s="81">
        <v>1980</v>
      </c>
      <c r="D768" s="79"/>
      <c r="E768" s="79"/>
      <c r="F768" s="92">
        <v>1907.9</v>
      </c>
      <c r="G768" s="92">
        <v>1781.8</v>
      </c>
      <c r="H768" s="1">
        <f t="shared" si="162"/>
        <v>1287257.44</v>
      </c>
      <c r="I768" s="1">
        <v>1215410.51</v>
      </c>
      <c r="J768" s="1">
        <v>0</v>
      </c>
      <c r="K768" s="1">
        <v>0</v>
      </c>
      <c r="L768" s="1">
        <v>0</v>
      </c>
      <c r="M768" s="1">
        <v>0</v>
      </c>
      <c r="N768" s="1">
        <v>0</v>
      </c>
      <c r="O768" s="1">
        <v>71846.929999999993</v>
      </c>
      <c r="P768" s="1">
        <v>0</v>
      </c>
      <c r="Q768" s="1">
        <v>0</v>
      </c>
      <c r="R768" s="1">
        <v>0</v>
      </c>
      <c r="S768" s="1">
        <f t="shared" si="166"/>
        <v>1287257.44</v>
      </c>
      <c r="T768" s="79">
        <v>2021</v>
      </c>
      <c r="U768" s="79">
        <v>2022</v>
      </c>
    </row>
    <row r="769" spans="1:21" ht="15.75">
      <c r="A769" s="79">
        <f t="shared" si="165"/>
        <v>63</v>
      </c>
      <c r="B769" s="186" t="s">
        <v>485</v>
      </c>
      <c r="C769" s="81">
        <v>1962</v>
      </c>
      <c r="D769" s="79"/>
      <c r="E769" s="79"/>
      <c r="F769" s="92">
        <v>2543</v>
      </c>
      <c r="G769" s="92">
        <v>2497</v>
      </c>
      <c r="H769" s="1">
        <f t="shared" si="162"/>
        <v>807934.19</v>
      </c>
      <c r="I769" s="1"/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807934.19</v>
      </c>
      <c r="P769" s="1">
        <v>0</v>
      </c>
      <c r="Q769" s="1">
        <v>0</v>
      </c>
      <c r="R769" s="1">
        <v>0</v>
      </c>
      <c r="S769" s="1">
        <f t="shared" si="166"/>
        <v>807934.19</v>
      </c>
      <c r="T769" s="79">
        <v>2021</v>
      </c>
      <c r="U769" s="79">
        <v>2022</v>
      </c>
    </row>
    <row r="770" spans="1:21" ht="15.75">
      <c r="A770" s="182">
        <f t="shared" si="165"/>
        <v>64</v>
      </c>
      <c r="B770" s="186" t="s">
        <v>484</v>
      </c>
      <c r="C770" s="190">
        <v>1963</v>
      </c>
      <c r="D770" s="182"/>
      <c r="E770" s="182"/>
      <c r="F770" s="180">
        <v>2606.8000000000002</v>
      </c>
      <c r="G770" s="180">
        <v>2575.6999999999998</v>
      </c>
      <c r="H770" s="1">
        <f t="shared" si="162"/>
        <v>16089207.16</v>
      </c>
      <c r="I770" s="1">
        <v>0</v>
      </c>
      <c r="J770" s="1">
        <v>0</v>
      </c>
      <c r="K770" s="1">
        <v>6646890.1799999997</v>
      </c>
      <c r="L770" s="1">
        <v>0</v>
      </c>
      <c r="M770" s="1">
        <v>8386888.0099999998</v>
      </c>
      <c r="N770" s="1">
        <v>0</v>
      </c>
      <c r="O770" s="1">
        <v>1055428.97</v>
      </c>
      <c r="P770" s="1">
        <v>0</v>
      </c>
      <c r="Q770" s="1">
        <v>0</v>
      </c>
      <c r="R770" s="1">
        <v>0</v>
      </c>
      <c r="S770" s="1">
        <f t="shared" si="166"/>
        <v>16089207.16</v>
      </c>
      <c r="T770" s="182">
        <v>2021</v>
      </c>
      <c r="U770" s="182">
        <v>2022</v>
      </c>
    </row>
    <row r="771" spans="1:21" ht="15.75">
      <c r="A771" s="182">
        <f t="shared" si="165"/>
        <v>65</v>
      </c>
      <c r="B771" s="186" t="s">
        <v>474</v>
      </c>
      <c r="C771" s="190">
        <v>1958</v>
      </c>
      <c r="D771" s="182"/>
      <c r="E771" s="182"/>
      <c r="F771" s="189">
        <v>3408.6</v>
      </c>
      <c r="G771" s="189">
        <v>3408.6</v>
      </c>
      <c r="H771" s="2">
        <f t="shared" si="162"/>
        <v>10259704.199999999</v>
      </c>
      <c r="I771" s="3">
        <v>0</v>
      </c>
      <c r="J771" s="3">
        <v>0</v>
      </c>
      <c r="K771" s="1">
        <v>9665284.7599999998</v>
      </c>
      <c r="L771" s="3">
        <v>0</v>
      </c>
      <c r="M771" s="3">
        <v>0</v>
      </c>
      <c r="N771" s="3">
        <v>0</v>
      </c>
      <c r="O771" s="1">
        <v>594419.43999999994</v>
      </c>
      <c r="P771" s="3">
        <v>0</v>
      </c>
      <c r="Q771" s="3">
        <v>0</v>
      </c>
      <c r="R771" s="3">
        <v>0</v>
      </c>
      <c r="S771" s="1">
        <f t="shared" si="166"/>
        <v>10259704.199999999</v>
      </c>
      <c r="T771" s="182">
        <v>2021</v>
      </c>
      <c r="U771" s="182">
        <v>2022</v>
      </c>
    </row>
    <row r="772" spans="1:21" ht="15.75">
      <c r="A772" s="182">
        <f t="shared" si="165"/>
        <v>66</v>
      </c>
      <c r="B772" s="186" t="s">
        <v>468</v>
      </c>
      <c r="C772" s="190">
        <v>1972</v>
      </c>
      <c r="D772" s="182"/>
      <c r="E772" s="182"/>
      <c r="F772" s="189">
        <v>4905.3</v>
      </c>
      <c r="G772" s="189">
        <v>4421</v>
      </c>
      <c r="H772" s="2">
        <f t="shared" si="162"/>
        <v>17512212.870000001</v>
      </c>
      <c r="I772" s="3">
        <v>0</v>
      </c>
      <c r="J772" s="3">
        <v>0</v>
      </c>
      <c r="K772" s="1">
        <v>17512212.870000001</v>
      </c>
      <c r="L772" s="3">
        <v>0</v>
      </c>
      <c r="M772" s="3">
        <v>0</v>
      </c>
      <c r="N772" s="3">
        <v>0</v>
      </c>
      <c r="O772" s="1">
        <v>0</v>
      </c>
      <c r="P772" s="3">
        <v>0</v>
      </c>
      <c r="Q772" s="3">
        <v>0</v>
      </c>
      <c r="R772" s="3">
        <v>0</v>
      </c>
      <c r="S772" s="1">
        <f t="shared" si="166"/>
        <v>17512212.870000001</v>
      </c>
      <c r="T772" s="182">
        <v>2021</v>
      </c>
      <c r="U772" s="182">
        <v>2022</v>
      </c>
    </row>
    <row r="773" spans="1:21" ht="15.75">
      <c r="A773" s="182">
        <f t="shared" si="165"/>
        <v>67</v>
      </c>
      <c r="B773" s="186" t="s">
        <v>466</v>
      </c>
      <c r="C773" s="190">
        <v>1970</v>
      </c>
      <c r="D773" s="182"/>
      <c r="E773" s="182"/>
      <c r="F773" s="189">
        <v>3456.9</v>
      </c>
      <c r="G773" s="189">
        <v>3412.3</v>
      </c>
      <c r="H773" s="2">
        <f t="shared" si="162"/>
        <v>14151435.49</v>
      </c>
      <c r="I773" s="3">
        <v>0</v>
      </c>
      <c r="J773" s="3">
        <v>0</v>
      </c>
      <c r="K773" s="1">
        <v>14151435.49</v>
      </c>
      <c r="L773" s="3">
        <v>0</v>
      </c>
      <c r="M773" s="3">
        <v>0</v>
      </c>
      <c r="N773" s="3">
        <v>0</v>
      </c>
      <c r="O773" s="1">
        <v>0</v>
      </c>
      <c r="P773" s="3">
        <v>0</v>
      </c>
      <c r="Q773" s="3">
        <v>0</v>
      </c>
      <c r="R773" s="3">
        <v>0</v>
      </c>
      <c r="S773" s="1">
        <f t="shared" si="166"/>
        <v>14151435.49</v>
      </c>
      <c r="T773" s="182">
        <v>2021</v>
      </c>
      <c r="U773" s="182">
        <v>2022</v>
      </c>
    </row>
    <row r="774" spans="1:21" ht="15.75">
      <c r="A774" s="182">
        <f t="shared" si="165"/>
        <v>68</v>
      </c>
      <c r="B774" s="186" t="s">
        <v>467</v>
      </c>
      <c r="C774" s="190">
        <v>1972</v>
      </c>
      <c r="D774" s="182"/>
      <c r="E774" s="182"/>
      <c r="F774" s="189">
        <v>4470.3</v>
      </c>
      <c r="G774" s="189">
        <v>4409.6000000000004</v>
      </c>
      <c r="H774" s="2">
        <f t="shared" si="162"/>
        <v>23899029.48</v>
      </c>
      <c r="I774" s="3">
        <v>6430371.3399999999</v>
      </c>
      <c r="J774" s="3">
        <v>0</v>
      </c>
      <c r="K774" s="1">
        <v>17468658.140000001</v>
      </c>
      <c r="L774" s="3">
        <v>0</v>
      </c>
      <c r="M774" s="3">
        <v>0</v>
      </c>
      <c r="N774" s="3">
        <v>0</v>
      </c>
      <c r="O774" s="1">
        <v>0</v>
      </c>
      <c r="P774" s="3">
        <v>0</v>
      </c>
      <c r="Q774" s="3">
        <v>0</v>
      </c>
      <c r="R774" s="3">
        <v>0</v>
      </c>
      <c r="S774" s="1">
        <f t="shared" si="166"/>
        <v>23899029.48</v>
      </c>
      <c r="T774" s="182">
        <v>2021</v>
      </c>
      <c r="U774" s="182">
        <v>2022</v>
      </c>
    </row>
    <row r="775" spans="1:21" ht="15.75">
      <c r="A775" s="182">
        <f t="shared" si="165"/>
        <v>69</v>
      </c>
      <c r="B775" s="186" t="s">
        <v>462</v>
      </c>
      <c r="C775" s="190">
        <v>1953</v>
      </c>
      <c r="D775" s="182"/>
      <c r="E775" s="182"/>
      <c r="F775" s="189">
        <v>662.9</v>
      </c>
      <c r="G775" s="189">
        <v>611.79999999999995</v>
      </c>
      <c r="H775" s="2">
        <f t="shared" si="162"/>
        <v>478525.98</v>
      </c>
      <c r="I775" s="3">
        <f>ROUND(398086.82*1.015,2)</f>
        <v>404058.12</v>
      </c>
      <c r="J775" s="3">
        <v>0</v>
      </c>
      <c r="K775" s="1">
        <v>0</v>
      </c>
      <c r="L775" s="3">
        <v>0</v>
      </c>
      <c r="M775" s="3">
        <v>0</v>
      </c>
      <c r="N775" s="3">
        <v>0</v>
      </c>
      <c r="O775" s="1">
        <v>74467.86</v>
      </c>
      <c r="P775" s="3">
        <v>0</v>
      </c>
      <c r="Q775" s="3">
        <f>H775</f>
        <v>478525.98</v>
      </c>
      <c r="R775" s="3">
        <v>0</v>
      </c>
      <c r="S775" s="9">
        <v>0</v>
      </c>
      <c r="T775" s="182">
        <v>2020</v>
      </c>
      <c r="U775" s="182">
        <v>2022</v>
      </c>
    </row>
    <row r="776" spans="1:21" ht="15.75">
      <c r="A776" s="182">
        <f t="shared" si="165"/>
        <v>70</v>
      </c>
      <c r="B776" s="186" t="s">
        <v>460</v>
      </c>
      <c r="C776" s="190">
        <v>1974</v>
      </c>
      <c r="D776" s="182"/>
      <c r="E776" s="182"/>
      <c r="F776" s="189">
        <v>4737.7</v>
      </c>
      <c r="G776" s="189">
        <v>4096.6000000000004</v>
      </c>
      <c r="H776" s="1">
        <f t="shared" si="162"/>
        <v>8913564.9000000004</v>
      </c>
      <c r="I776" s="1">
        <v>0</v>
      </c>
      <c r="J776" s="1">
        <v>0</v>
      </c>
      <c r="K776" s="1">
        <v>8913564.9000000004</v>
      </c>
      <c r="L776" s="1">
        <v>0</v>
      </c>
      <c r="M776" s="1">
        <v>0</v>
      </c>
      <c r="N776" s="1">
        <v>0</v>
      </c>
      <c r="O776" s="3">
        <v>0</v>
      </c>
      <c r="P776" s="1">
        <v>0</v>
      </c>
      <c r="Q776" s="1">
        <v>0</v>
      </c>
      <c r="R776" s="1">
        <v>0</v>
      </c>
      <c r="S776" s="13">
        <f>H776</f>
        <v>8913564.9000000004</v>
      </c>
      <c r="T776" s="182">
        <v>2021</v>
      </c>
      <c r="U776" s="182">
        <v>2022</v>
      </c>
    </row>
    <row r="777" spans="1:21" ht="15.75">
      <c r="A777" s="182">
        <f t="shared" si="165"/>
        <v>71</v>
      </c>
      <c r="B777" s="186" t="s">
        <v>432</v>
      </c>
      <c r="C777" s="190">
        <v>1960</v>
      </c>
      <c r="D777" s="182"/>
      <c r="E777" s="182"/>
      <c r="F777" s="189">
        <v>2707.4</v>
      </c>
      <c r="G777" s="189">
        <v>2281.5</v>
      </c>
      <c r="H777" s="2">
        <f t="shared" si="162"/>
        <v>8420999.7599999998</v>
      </c>
      <c r="I777" s="3">
        <v>0</v>
      </c>
      <c r="J777" s="3">
        <v>0</v>
      </c>
      <c r="K777" s="1">
        <v>8420999.7599999998</v>
      </c>
      <c r="L777" s="3">
        <v>0</v>
      </c>
      <c r="M777" s="3">
        <v>0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1">
        <f>H777</f>
        <v>8420999.7599999998</v>
      </c>
      <c r="T777" s="182">
        <v>2021</v>
      </c>
      <c r="U777" s="182">
        <v>2022</v>
      </c>
    </row>
    <row r="778" spans="1:21" ht="15.75">
      <c r="A778" s="182">
        <f t="shared" si="165"/>
        <v>72</v>
      </c>
      <c r="B778" s="186" t="s">
        <v>431</v>
      </c>
      <c r="C778" s="190">
        <v>1960</v>
      </c>
      <c r="D778" s="182"/>
      <c r="E778" s="182"/>
      <c r="F778" s="189">
        <v>2756.7</v>
      </c>
      <c r="G778" s="189">
        <v>2215.8000000000002</v>
      </c>
      <c r="H778" s="2">
        <f t="shared" si="162"/>
        <v>9528814.7899999991</v>
      </c>
      <c r="I778" s="3">
        <v>0</v>
      </c>
      <c r="J778" s="3">
        <v>0</v>
      </c>
      <c r="K778" s="1">
        <v>9528814.7899999991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1">
        <f>H778</f>
        <v>9528814.7899999991</v>
      </c>
      <c r="T778" s="182">
        <v>2021</v>
      </c>
      <c r="U778" s="182">
        <v>2022</v>
      </c>
    </row>
    <row r="779" spans="1:21" ht="15.75">
      <c r="A779" s="182">
        <f t="shared" si="165"/>
        <v>73</v>
      </c>
      <c r="B779" s="186" t="s">
        <v>430</v>
      </c>
      <c r="C779" s="190">
        <v>1956</v>
      </c>
      <c r="D779" s="182"/>
      <c r="E779" s="182"/>
      <c r="F779" s="189">
        <v>3312.7</v>
      </c>
      <c r="G779" s="189">
        <v>3312.7</v>
      </c>
      <c r="H779" s="2">
        <f t="shared" si="162"/>
        <v>8950824.3399999999</v>
      </c>
      <c r="I779" s="3">
        <v>0</v>
      </c>
      <c r="J779" s="3">
        <v>0</v>
      </c>
      <c r="K779" s="1">
        <v>8950824.3399999999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1">
        <f>H779</f>
        <v>8950824.3399999999</v>
      </c>
      <c r="T779" s="182">
        <v>2021</v>
      </c>
      <c r="U779" s="182">
        <v>2022</v>
      </c>
    </row>
    <row r="780" spans="1:21" ht="15.75">
      <c r="A780" s="182">
        <f t="shared" si="165"/>
        <v>74</v>
      </c>
      <c r="B780" s="186" t="s">
        <v>464</v>
      </c>
      <c r="C780" s="190">
        <v>1953</v>
      </c>
      <c r="D780" s="182"/>
      <c r="E780" s="182"/>
      <c r="F780" s="189">
        <v>664.9</v>
      </c>
      <c r="G780" s="189">
        <v>610.79999999999995</v>
      </c>
      <c r="H780" s="2">
        <f t="shared" si="162"/>
        <v>477743.81</v>
      </c>
      <c r="I780" s="3">
        <f>ROUND(397436.13*1.015,2)</f>
        <v>403397.67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1">
        <v>74346.14</v>
      </c>
      <c r="P780" s="3">
        <v>0</v>
      </c>
      <c r="Q780" s="3">
        <f>I780+74346.14</f>
        <v>477743.81</v>
      </c>
      <c r="R780" s="3">
        <v>0</v>
      </c>
      <c r="S780" s="3">
        <v>0</v>
      </c>
      <c r="T780" s="182">
        <v>2021</v>
      </c>
      <c r="U780" s="182">
        <v>2022</v>
      </c>
    </row>
    <row r="781" spans="1:21" ht="15.75">
      <c r="A781" s="182">
        <f t="shared" si="165"/>
        <v>75</v>
      </c>
      <c r="B781" s="186" t="s">
        <v>216</v>
      </c>
      <c r="C781" s="196">
        <v>1985</v>
      </c>
      <c r="D781" s="182"/>
      <c r="E781" s="182"/>
      <c r="F781" s="12">
        <v>1254.5</v>
      </c>
      <c r="G781" s="12">
        <v>1254.5</v>
      </c>
      <c r="H781" s="1">
        <f t="shared" si="162"/>
        <v>1981190.8</v>
      </c>
      <c r="I781" s="1">
        <v>1869605.22</v>
      </c>
      <c r="J781" s="3">
        <v>0</v>
      </c>
      <c r="K781" s="5">
        <v>0</v>
      </c>
      <c r="L781" s="3">
        <v>0</v>
      </c>
      <c r="M781" s="3">
        <v>0</v>
      </c>
      <c r="N781" s="3">
        <v>0</v>
      </c>
      <c r="O781" s="1">
        <v>111585.58</v>
      </c>
      <c r="P781" s="3">
        <v>0</v>
      </c>
      <c r="Q781" s="1">
        <f>H781</f>
        <v>1981190.8</v>
      </c>
      <c r="R781" s="3">
        <v>0</v>
      </c>
      <c r="S781" s="5">
        <v>0</v>
      </c>
      <c r="T781" s="182">
        <v>2020</v>
      </c>
      <c r="U781" s="182">
        <v>2022</v>
      </c>
    </row>
    <row r="782" spans="1:21" ht="15.75">
      <c r="A782" s="182">
        <f t="shared" si="165"/>
        <v>76</v>
      </c>
      <c r="B782" s="186" t="s">
        <v>429</v>
      </c>
      <c r="C782" s="190">
        <v>1960</v>
      </c>
      <c r="D782" s="182"/>
      <c r="E782" s="182"/>
      <c r="F782" s="189">
        <v>675.7</v>
      </c>
      <c r="G782" s="189">
        <v>634.1</v>
      </c>
      <c r="H782" s="2">
        <f t="shared" si="162"/>
        <v>5580893.4199999999</v>
      </c>
      <c r="I782" s="3">
        <v>0</v>
      </c>
      <c r="J782" s="3">
        <v>0</v>
      </c>
      <c r="K782" s="1">
        <v>5580893.4199999999</v>
      </c>
      <c r="L782" s="3">
        <v>0</v>
      </c>
      <c r="M782" s="3">
        <v>0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1">
        <f>H782</f>
        <v>5580893.4199999999</v>
      </c>
      <c r="T782" s="182">
        <v>2021</v>
      </c>
      <c r="U782" s="182">
        <v>2022</v>
      </c>
    </row>
    <row r="783" spans="1:21" ht="16.5" customHeight="1">
      <c r="A783" s="182">
        <f t="shared" si="165"/>
        <v>77</v>
      </c>
      <c r="B783" s="186" t="s">
        <v>1016</v>
      </c>
      <c r="C783" s="196">
        <v>1977</v>
      </c>
      <c r="D783" s="182"/>
      <c r="E783" s="182"/>
      <c r="F783" s="12">
        <v>7622</v>
      </c>
      <c r="G783" s="12">
        <v>7607.1</v>
      </c>
      <c r="H783" s="1">
        <f t="shared" si="162"/>
        <v>8869165.7300000004</v>
      </c>
      <c r="I783" s="1"/>
      <c r="J783" s="51">
        <v>8647436.5899999999</v>
      </c>
      <c r="K783" s="1"/>
      <c r="L783" s="2"/>
      <c r="M783" s="3"/>
      <c r="N783" s="3"/>
      <c r="O783" s="1">
        <v>221729.14</v>
      </c>
      <c r="P783" s="41"/>
      <c r="Q783" s="1"/>
      <c r="R783" s="51"/>
      <c r="S783" s="1">
        <f>O783+J783</f>
        <v>8869165.7300000004</v>
      </c>
      <c r="T783" s="182">
        <v>2022</v>
      </c>
      <c r="U783" s="182">
        <v>2022</v>
      </c>
    </row>
    <row r="784" spans="1:21" ht="15.75">
      <c r="A784" s="182">
        <f t="shared" si="165"/>
        <v>78</v>
      </c>
      <c r="B784" s="186" t="s">
        <v>1017</v>
      </c>
      <c r="C784" s="196">
        <v>1977</v>
      </c>
      <c r="D784" s="182"/>
      <c r="E784" s="182"/>
      <c r="F784" s="12">
        <v>2691</v>
      </c>
      <c r="G784" s="12">
        <v>2378</v>
      </c>
      <c r="H784" s="1">
        <f t="shared" si="162"/>
        <v>2217291.4300000002</v>
      </c>
      <c r="I784" s="1"/>
      <c r="J784" s="51">
        <v>2161859.15</v>
      </c>
      <c r="K784" s="1"/>
      <c r="L784" s="2"/>
      <c r="M784" s="3"/>
      <c r="N784" s="3"/>
      <c r="O784" s="1">
        <v>55432.28</v>
      </c>
      <c r="P784" s="41"/>
      <c r="Q784" s="1"/>
      <c r="R784" s="51"/>
      <c r="S784" s="1">
        <f>O784+J784</f>
        <v>2217291.4300000002</v>
      </c>
      <c r="T784" s="182">
        <v>2022</v>
      </c>
      <c r="U784" s="182">
        <v>2022</v>
      </c>
    </row>
    <row r="785" spans="1:21" ht="17.25" customHeight="1">
      <c r="A785" s="182">
        <f t="shared" si="165"/>
        <v>79</v>
      </c>
      <c r="B785" s="186" t="s">
        <v>893</v>
      </c>
      <c r="C785" s="196">
        <v>1977</v>
      </c>
      <c r="D785" s="182"/>
      <c r="E785" s="182"/>
      <c r="F785" s="12">
        <v>7688.7</v>
      </c>
      <c r="G785" s="12">
        <v>7626.8</v>
      </c>
      <c r="H785" s="1">
        <f t="shared" si="162"/>
        <v>13834230.060000001</v>
      </c>
      <c r="I785" s="157">
        <v>4717064.33</v>
      </c>
      <c r="J785" s="158">
        <v>8647436.5899999999</v>
      </c>
      <c r="K785" s="1"/>
      <c r="L785" s="2"/>
      <c r="M785" s="3"/>
      <c r="N785" s="3"/>
      <c r="O785" s="1">
        <f>248000+221729.14</f>
        <v>469729.14</v>
      </c>
      <c r="P785" s="159"/>
      <c r="Q785" s="157">
        <f>248000+I785</f>
        <v>4965064.33</v>
      </c>
      <c r="R785" s="158"/>
      <c r="S785" s="1">
        <f>850584.48+J785</f>
        <v>9498021.0700000003</v>
      </c>
      <c r="T785" s="182">
        <v>2022</v>
      </c>
      <c r="U785" s="182">
        <v>2022</v>
      </c>
    </row>
    <row r="786" spans="1:21" ht="17.25" customHeight="1">
      <c r="A786" s="182">
        <f t="shared" si="165"/>
        <v>80</v>
      </c>
      <c r="B786" s="186" t="s">
        <v>1037</v>
      </c>
      <c r="C786" s="196">
        <v>1966</v>
      </c>
      <c r="D786" s="182"/>
      <c r="E786" s="182"/>
      <c r="F786" s="12">
        <v>4240.6000000000004</v>
      </c>
      <c r="G786" s="1">
        <v>4001.26</v>
      </c>
      <c r="H786" s="1">
        <f t="shared" si="162"/>
        <v>14522525.970000001</v>
      </c>
      <c r="I786" s="1"/>
      <c r="J786" s="1"/>
      <c r="K786" s="1">
        <v>13785637.15</v>
      </c>
      <c r="L786" s="2"/>
      <c r="M786" s="3"/>
      <c r="N786" s="3"/>
      <c r="O786" s="1">
        <v>736888.82</v>
      </c>
      <c r="P786" s="1"/>
      <c r="Q786" s="1">
        <f>O786+K786</f>
        <v>14522525.970000001</v>
      </c>
      <c r="R786" s="1"/>
      <c r="S786" s="1"/>
      <c r="T786" s="182">
        <v>2022</v>
      </c>
      <c r="U786" s="182">
        <v>2023</v>
      </c>
    </row>
    <row r="787" spans="1:21" ht="15.75">
      <c r="A787" s="182">
        <f t="shared" si="165"/>
        <v>81</v>
      </c>
      <c r="B787" s="186" t="s">
        <v>689</v>
      </c>
      <c r="C787" s="190">
        <v>1961</v>
      </c>
      <c r="D787" s="182"/>
      <c r="E787" s="182"/>
      <c r="F787" s="180">
        <v>1472.4</v>
      </c>
      <c r="G787" s="180">
        <v>1364.3</v>
      </c>
      <c r="H787" s="7">
        <f t="shared" si="162"/>
        <v>8741366.9600000009</v>
      </c>
      <c r="I787" s="10">
        <v>0</v>
      </c>
      <c r="J787" s="10">
        <v>0</v>
      </c>
      <c r="K787" s="1">
        <f>ROUND(G787*5975.33*1.015,2)</f>
        <v>8274424.8600000003</v>
      </c>
      <c r="L787" s="3">
        <v>0</v>
      </c>
      <c r="M787" s="3">
        <v>0</v>
      </c>
      <c r="N787" s="3">
        <v>0</v>
      </c>
      <c r="O787" s="1">
        <v>466942.1</v>
      </c>
      <c r="P787" s="10">
        <v>0</v>
      </c>
      <c r="Q787" s="10">
        <v>0</v>
      </c>
      <c r="R787" s="10">
        <v>0</v>
      </c>
      <c r="S787" s="1">
        <f>H787</f>
        <v>8741366.9600000009</v>
      </c>
      <c r="T787" s="182">
        <v>2022</v>
      </c>
      <c r="U787" s="182">
        <v>2022</v>
      </c>
    </row>
    <row r="788" spans="1:21" ht="15.75">
      <c r="A788" s="182">
        <f t="shared" si="165"/>
        <v>82</v>
      </c>
      <c r="B788" s="186" t="s">
        <v>894</v>
      </c>
      <c r="C788" s="190">
        <v>1967</v>
      </c>
      <c r="D788" s="182"/>
      <c r="E788" s="182"/>
      <c r="F788" s="180">
        <v>5775.3</v>
      </c>
      <c r="G788" s="180">
        <v>5775.3</v>
      </c>
      <c r="H788" s="2">
        <f t="shared" si="162"/>
        <v>2480073.04</v>
      </c>
      <c r="I788" s="3">
        <v>2356073.04</v>
      </c>
      <c r="J788" s="3"/>
      <c r="K788" s="1"/>
      <c r="L788" s="3"/>
      <c r="M788" s="3"/>
      <c r="N788" s="3"/>
      <c r="O788" s="1">
        <v>124000</v>
      </c>
      <c r="P788" s="3">
        <v>0</v>
      </c>
      <c r="Q788" s="3">
        <f t="shared" ref="Q788:Q798" si="167">H788</f>
        <v>2480073.04</v>
      </c>
      <c r="R788" s="3"/>
      <c r="S788" s="1"/>
      <c r="T788" s="182">
        <v>2022</v>
      </c>
      <c r="U788" s="182">
        <v>2022</v>
      </c>
    </row>
    <row r="789" spans="1:21" ht="15.75">
      <c r="A789" s="182">
        <f t="shared" si="165"/>
        <v>83</v>
      </c>
      <c r="B789" s="186" t="s">
        <v>895</v>
      </c>
      <c r="C789" s="190">
        <v>1967</v>
      </c>
      <c r="D789" s="182"/>
      <c r="E789" s="182"/>
      <c r="F789" s="180">
        <v>4351.8999999999996</v>
      </c>
      <c r="G789" s="180">
        <v>4351.8999999999996</v>
      </c>
      <c r="H789" s="2">
        <f t="shared" si="162"/>
        <v>2480073.04</v>
      </c>
      <c r="I789" s="3">
        <v>2356073.04</v>
      </c>
      <c r="J789" s="3"/>
      <c r="K789" s="1"/>
      <c r="L789" s="3"/>
      <c r="M789" s="3"/>
      <c r="N789" s="3"/>
      <c r="O789" s="1">
        <v>124000</v>
      </c>
      <c r="P789" s="3">
        <v>0</v>
      </c>
      <c r="Q789" s="3">
        <f t="shared" si="167"/>
        <v>2480073.04</v>
      </c>
      <c r="R789" s="3"/>
      <c r="S789" s="1"/>
      <c r="T789" s="182">
        <v>2022</v>
      </c>
      <c r="U789" s="182">
        <v>2022</v>
      </c>
    </row>
    <row r="790" spans="1:21" ht="15.75">
      <c r="A790" s="182">
        <f t="shared" si="165"/>
        <v>84</v>
      </c>
      <c r="B790" s="186" t="s">
        <v>896</v>
      </c>
      <c r="C790" s="190">
        <v>1971</v>
      </c>
      <c r="D790" s="182"/>
      <c r="E790" s="182"/>
      <c r="F790" s="180">
        <v>3827.7</v>
      </c>
      <c r="G790" s="180">
        <v>3827.7</v>
      </c>
      <c r="H790" s="2">
        <f t="shared" si="162"/>
        <v>2480073.04</v>
      </c>
      <c r="I790" s="3">
        <v>2356073.04</v>
      </c>
      <c r="J790" s="3"/>
      <c r="K790" s="1"/>
      <c r="L790" s="3"/>
      <c r="M790" s="3"/>
      <c r="N790" s="3"/>
      <c r="O790" s="1">
        <v>124000</v>
      </c>
      <c r="P790" s="3">
        <v>0</v>
      </c>
      <c r="Q790" s="3">
        <f t="shared" si="167"/>
        <v>2480073.04</v>
      </c>
      <c r="R790" s="3"/>
      <c r="S790" s="1"/>
      <c r="T790" s="182">
        <v>2022</v>
      </c>
      <c r="U790" s="182">
        <v>2022</v>
      </c>
    </row>
    <row r="791" spans="1:21" ht="15.75">
      <c r="A791" s="182">
        <f t="shared" si="165"/>
        <v>85</v>
      </c>
      <c r="B791" s="186" t="s">
        <v>897</v>
      </c>
      <c r="C791" s="190">
        <v>1971</v>
      </c>
      <c r="D791" s="182"/>
      <c r="E791" s="182"/>
      <c r="F791" s="180">
        <v>3847.8</v>
      </c>
      <c r="G791" s="180">
        <v>3847.8</v>
      </c>
      <c r="H791" s="2">
        <f t="shared" si="162"/>
        <v>2480073.04</v>
      </c>
      <c r="I791" s="3">
        <v>2356073.04</v>
      </c>
      <c r="J791" s="3"/>
      <c r="K791" s="1"/>
      <c r="L791" s="3"/>
      <c r="M791" s="3"/>
      <c r="N791" s="3"/>
      <c r="O791" s="1">
        <v>124000</v>
      </c>
      <c r="P791" s="3">
        <v>0</v>
      </c>
      <c r="Q791" s="3">
        <f t="shared" si="167"/>
        <v>2480073.04</v>
      </c>
      <c r="R791" s="3"/>
      <c r="S791" s="1"/>
      <c r="T791" s="182">
        <v>2022</v>
      </c>
      <c r="U791" s="182">
        <v>2022</v>
      </c>
    </row>
    <row r="792" spans="1:21" ht="15.75">
      <c r="A792" s="182">
        <f t="shared" si="165"/>
        <v>86</v>
      </c>
      <c r="B792" s="186" t="s">
        <v>898</v>
      </c>
      <c r="C792" s="190">
        <v>1960</v>
      </c>
      <c r="D792" s="182"/>
      <c r="E792" s="182"/>
      <c r="F792" s="180">
        <v>3034.5</v>
      </c>
      <c r="G792" s="180">
        <v>3034.5</v>
      </c>
      <c r="H792" s="2">
        <f t="shared" si="162"/>
        <v>2480073.04</v>
      </c>
      <c r="I792" s="3">
        <v>2356073.04</v>
      </c>
      <c r="J792" s="3"/>
      <c r="K792" s="1"/>
      <c r="L792" s="3"/>
      <c r="M792" s="3"/>
      <c r="N792" s="3"/>
      <c r="O792" s="1">
        <v>124000</v>
      </c>
      <c r="P792" s="3">
        <v>0</v>
      </c>
      <c r="Q792" s="3">
        <f t="shared" si="167"/>
        <v>2480073.04</v>
      </c>
      <c r="R792" s="3"/>
      <c r="S792" s="1"/>
      <c r="T792" s="182">
        <v>2022</v>
      </c>
      <c r="U792" s="182">
        <v>2022</v>
      </c>
    </row>
    <row r="793" spans="1:21" ht="15.75">
      <c r="A793" s="182">
        <f t="shared" si="165"/>
        <v>87</v>
      </c>
      <c r="B793" s="186" t="s">
        <v>899</v>
      </c>
      <c r="C793" s="190">
        <v>1966</v>
      </c>
      <c r="D793" s="182"/>
      <c r="E793" s="182"/>
      <c r="F793" s="180">
        <v>4370</v>
      </c>
      <c r="G793" s="180">
        <v>4370</v>
      </c>
      <c r="H793" s="2">
        <f t="shared" si="162"/>
        <v>2480073.04</v>
      </c>
      <c r="I793" s="3">
        <v>2356073.04</v>
      </c>
      <c r="J793" s="3"/>
      <c r="K793" s="1"/>
      <c r="L793" s="3"/>
      <c r="M793" s="3"/>
      <c r="N793" s="3"/>
      <c r="O793" s="1">
        <v>124000</v>
      </c>
      <c r="P793" s="3">
        <v>0</v>
      </c>
      <c r="Q793" s="3">
        <f t="shared" si="167"/>
        <v>2480073.04</v>
      </c>
      <c r="R793" s="3"/>
      <c r="S793" s="1"/>
      <c r="T793" s="182">
        <v>2022</v>
      </c>
      <c r="U793" s="182">
        <v>2022</v>
      </c>
    </row>
    <row r="794" spans="1:21" ht="15.75">
      <c r="A794" s="182">
        <f t="shared" si="165"/>
        <v>88</v>
      </c>
      <c r="B794" s="186" t="s">
        <v>900</v>
      </c>
      <c r="C794" s="190">
        <v>1970</v>
      </c>
      <c r="D794" s="182"/>
      <c r="E794" s="182"/>
      <c r="F794" s="180">
        <v>3330.1</v>
      </c>
      <c r="G794" s="180">
        <v>3329.8</v>
      </c>
      <c r="H794" s="2">
        <f t="shared" si="162"/>
        <v>2479897.41</v>
      </c>
      <c r="I794" s="3">
        <v>2355897.41</v>
      </c>
      <c r="J794" s="3"/>
      <c r="K794" s="1"/>
      <c r="L794" s="3"/>
      <c r="M794" s="3"/>
      <c r="N794" s="3"/>
      <c r="O794" s="1">
        <v>124000</v>
      </c>
      <c r="P794" s="3">
        <v>0</v>
      </c>
      <c r="Q794" s="3">
        <f t="shared" si="167"/>
        <v>2479897.41</v>
      </c>
      <c r="R794" s="3"/>
      <c r="S794" s="1"/>
      <c r="T794" s="182">
        <v>2022</v>
      </c>
      <c r="U794" s="182">
        <v>2022</v>
      </c>
    </row>
    <row r="795" spans="1:21" ht="15.75">
      <c r="A795" s="182">
        <f t="shared" si="165"/>
        <v>89</v>
      </c>
      <c r="B795" s="186" t="s">
        <v>901</v>
      </c>
      <c r="C795" s="190">
        <v>1970</v>
      </c>
      <c r="D795" s="182"/>
      <c r="E795" s="182"/>
      <c r="F795" s="180">
        <v>4510.5</v>
      </c>
      <c r="G795" s="180">
        <v>4498.3</v>
      </c>
      <c r="H795" s="2">
        <f t="shared" si="162"/>
        <v>2479897.41</v>
      </c>
      <c r="I795" s="3">
        <v>2355897.41</v>
      </c>
      <c r="J795" s="3"/>
      <c r="K795" s="1"/>
      <c r="L795" s="3"/>
      <c r="M795" s="3"/>
      <c r="N795" s="3"/>
      <c r="O795" s="1">
        <v>124000</v>
      </c>
      <c r="P795" s="3">
        <v>0</v>
      </c>
      <c r="Q795" s="3">
        <f t="shared" si="167"/>
        <v>2479897.41</v>
      </c>
      <c r="R795" s="3"/>
      <c r="S795" s="1"/>
      <c r="T795" s="182">
        <v>2022</v>
      </c>
      <c r="U795" s="182">
        <v>2022</v>
      </c>
    </row>
    <row r="796" spans="1:21" ht="15.75">
      <c r="A796" s="182">
        <f t="shared" si="165"/>
        <v>90</v>
      </c>
      <c r="B796" s="186" t="s">
        <v>902</v>
      </c>
      <c r="C796" s="190" t="s">
        <v>910</v>
      </c>
      <c r="D796" s="182"/>
      <c r="E796" s="182"/>
      <c r="F796" s="180">
        <v>3424.9</v>
      </c>
      <c r="G796" s="180">
        <v>3424.8</v>
      </c>
      <c r="H796" s="2">
        <f t="shared" si="162"/>
        <v>2479897.41</v>
      </c>
      <c r="I796" s="3">
        <v>2355897.41</v>
      </c>
      <c r="J796" s="3"/>
      <c r="K796" s="1"/>
      <c r="L796" s="3"/>
      <c r="M796" s="3"/>
      <c r="N796" s="3"/>
      <c r="O796" s="1">
        <v>124000</v>
      </c>
      <c r="P796" s="3">
        <v>0</v>
      </c>
      <c r="Q796" s="3">
        <f t="shared" si="167"/>
        <v>2479897.41</v>
      </c>
      <c r="R796" s="3"/>
      <c r="S796" s="1"/>
      <c r="T796" s="182">
        <v>2022</v>
      </c>
      <c r="U796" s="182">
        <v>2022</v>
      </c>
    </row>
    <row r="797" spans="1:21" ht="15.75">
      <c r="A797" s="182">
        <f t="shared" si="165"/>
        <v>91</v>
      </c>
      <c r="B797" s="186" t="s">
        <v>903</v>
      </c>
      <c r="C797" s="190">
        <v>1970</v>
      </c>
      <c r="D797" s="182"/>
      <c r="E797" s="182"/>
      <c r="F797" s="180">
        <v>5072</v>
      </c>
      <c r="G797" s="180">
        <v>5026.8</v>
      </c>
      <c r="H797" s="2">
        <f t="shared" si="162"/>
        <v>2479897.41</v>
      </c>
      <c r="I797" s="3">
        <v>2355897.41</v>
      </c>
      <c r="J797" s="3"/>
      <c r="K797" s="1"/>
      <c r="L797" s="3"/>
      <c r="M797" s="3"/>
      <c r="N797" s="3"/>
      <c r="O797" s="1">
        <v>124000</v>
      </c>
      <c r="P797" s="3">
        <v>0</v>
      </c>
      <c r="Q797" s="3">
        <f t="shared" si="167"/>
        <v>2479897.41</v>
      </c>
      <c r="R797" s="3"/>
      <c r="S797" s="1"/>
      <c r="T797" s="182">
        <v>2022</v>
      </c>
      <c r="U797" s="182">
        <v>2022</v>
      </c>
    </row>
    <row r="798" spans="1:21" ht="15.75">
      <c r="A798" s="182">
        <f t="shared" si="165"/>
        <v>92</v>
      </c>
      <c r="B798" s="186" t="s">
        <v>904</v>
      </c>
      <c r="C798" s="190">
        <v>1970</v>
      </c>
      <c r="D798" s="182"/>
      <c r="E798" s="182"/>
      <c r="F798" s="180">
        <v>3224.3</v>
      </c>
      <c r="G798" s="180">
        <v>3077.3</v>
      </c>
      <c r="H798" s="2">
        <f t="shared" si="162"/>
        <v>2479897.41</v>
      </c>
      <c r="I798" s="3">
        <v>2355897.41</v>
      </c>
      <c r="J798" s="3"/>
      <c r="K798" s="1"/>
      <c r="L798" s="3"/>
      <c r="M798" s="3"/>
      <c r="N798" s="3"/>
      <c r="O798" s="1">
        <v>124000</v>
      </c>
      <c r="P798" s="3">
        <v>0</v>
      </c>
      <c r="Q798" s="3">
        <f t="shared" si="167"/>
        <v>2479897.41</v>
      </c>
      <c r="R798" s="3"/>
      <c r="S798" s="1"/>
      <c r="T798" s="182">
        <v>2022</v>
      </c>
      <c r="U798" s="182">
        <v>2022</v>
      </c>
    </row>
    <row r="799" spans="1:21" ht="15.75">
      <c r="A799" s="79">
        <f t="shared" si="165"/>
        <v>93</v>
      </c>
      <c r="B799" s="186" t="s">
        <v>905</v>
      </c>
      <c r="C799" s="81">
        <v>1971</v>
      </c>
      <c r="D799" s="79"/>
      <c r="E799" s="79"/>
      <c r="F799" s="92">
        <v>5029.3</v>
      </c>
      <c r="G799" s="92">
        <v>5026.2</v>
      </c>
      <c r="H799" s="2">
        <f t="shared" si="162"/>
        <v>2479897.41</v>
      </c>
      <c r="I799" s="3">
        <v>2355897.41</v>
      </c>
      <c r="J799" s="3"/>
      <c r="K799" s="1"/>
      <c r="L799" s="3"/>
      <c r="M799" s="3"/>
      <c r="N799" s="3"/>
      <c r="O799" s="1">
        <v>124000</v>
      </c>
      <c r="P799" s="3">
        <v>0</v>
      </c>
      <c r="Q799" s="3">
        <v>2479897.41</v>
      </c>
      <c r="R799" s="3"/>
      <c r="S799" s="1"/>
      <c r="T799" s="79">
        <v>2022</v>
      </c>
      <c r="U799" s="79">
        <v>2022</v>
      </c>
    </row>
    <row r="800" spans="1:21" ht="15.75">
      <c r="A800" s="79">
        <f t="shared" si="165"/>
        <v>94</v>
      </c>
      <c r="B800" s="186" t="s">
        <v>906</v>
      </c>
      <c r="C800" s="81">
        <v>1970</v>
      </c>
      <c r="D800" s="79"/>
      <c r="E800" s="79"/>
      <c r="F800" s="92">
        <v>2743.4</v>
      </c>
      <c r="G800" s="92">
        <v>2726.2</v>
      </c>
      <c r="H800" s="2">
        <f t="shared" si="162"/>
        <v>2479897.41</v>
      </c>
      <c r="I800" s="3">
        <v>2355897.41</v>
      </c>
      <c r="J800" s="3"/>
      <c r="K800" s="1"/>
      <c r="L800" s="3"/>
      <c r="M800" s="3"/>
      <c r="N800" s="3"/>
      <c r="O800" s="1">
        <v>124000</v>
      </c>
      <c r="P800" s="3">
        <v>0</v>
      </c>
      <c r="Q800" s="3">
        <f t="shared" ref="Q800:Q808" si="168">H800</f>
        <v>2479897.41</v>
      </c>
      <c r="R800" s="3"/>
      <c r="S800" s="1"/>
      <c r="T800" s="79">
        <v>2022</v>
      </c>
      <c r="U800" s="79">
        <v>2022</v>
      </c>
    </row>
    <row r="801" spans="1:21" ht="15.75">
      <c r="A801" s="79">
        <f t="shared" si="165"/>
        <v>95</v>
      </c>
      <c r="B801" s="186" t="s">
        <v>907</v>
      </c>
      <c r="C801" s="81">
        <v>1972</v>
      </c>
      <c r="D801" s="79"/>
      <c r="E801" s="79"/>
      <c r="F801" s="92">
        <v>610.1</v>
      </c>
      <c r="G801" s="92">
        <v>609.79999999999995</v>
      </c>
      <c r="H801" s="2">
        <f t="shared" si="162"/>
        <v>2479897.41</v>
      </c>
      <c r="I801" s="3">
        <v>2355897.41</v>
      </c>
      <c r="J801" s="3"/>
      <c r="K801" s="1"/>
      <c r="L801" s="3"/>
      <c r="M801" s="3"/>
      <c r="N801" s="3"/>
      <c r="O801" s="1">
        <v>124000</v>
      </c>
      <c r="P801" s="3">
        <v>0</v>
      </c>
      <c r="Q801" s="3">
        <f t="shared" si="168"/>
        <v>2479897.41</v>
      </c>
      <c r="R801" s="3"/>
      <c r="S801" s="1"/>
      <c r="T801" s="79">
        <v>2022</v>
      </c>
      <c r="U801" s="79">
        <v>2022</v>
      </c>
    </row>
    <row r="802" spans="1:21" ht="15.75">
      <c r="A802" s="79">
        <f t="shared" si="165"/>
        <v>96</v>
      </c>
      <c r="B802" s="186" t="s">
        <v>908</v>
      </c>
      <c r="C802" s="81">
        <v>1971</v>
      </c>
      <c r="D802" s="79"/>
      <c r="E802" s="79"/>
      <c r="F802" s="92">
        <v>4518.5</v>
      </c>
      <c r="G802" s="92">
        <v>3146.7</v>
      </c>
      <c r="H802" s="2">
        <f t="shared" si="162"/>
        <v>2479897.41</v>
      </c>
      <c r="I802" s="3">
        <v>2355897.41</v>
      </c>
      <c r="J802" s="3"/>
      <c r="K802" s="1"/>
      <c r="L802" s="3"/>
      <c r="M802" s="3"/>
      <c r="N802" s="3"/>
      <c r="O802" s="1">
        <v>124000</v>
      </c>
      <c r="P802" s="3">
        <v>0</v>
      </c>
      <c r="Q802" s="3">
        <f t="shared" si="168"/>
        <v>2479897.41</v>
      </c>
      <c r="R802" s="3"/>
      <c r="S802" s="1"/>
      <c r="T802" s="79">
        <v>2022</v>
      </c>
      <c r="U802" s="79">
        <v>2022</v>
      </c>
    </row>
    <row r="803" spans="1:21" ht="15.75">
      <c r="A803" s="79">
        <f t="shared" si="165"/>
        <v>97</v>
      </c>
      <c r="B803" s="186" t="s">
        <v>909</v>
      </c>
      <c r="C803" s="81">
        <v>1974</v>
      </c>
      <c r="D803" s="79"/>
      <c r="E803" s="79"/>
      <c r="F803" s="92">
        <v>4733.8</v>
      </c>
      <c r="G803" s="92">
        <v>4103</v>
      </c>
      <c r="H803" s="2">
        <f t="shared" si="162"/>
        <v>2479897.41</v>
      </c>
      <c r="I803" s="3">
        <v>2355897.41</v>
      </c>
      <c r="J803" s="3"/>
      <c r="K803" s="1"/>
      <c r="L803" s="3"/>
      <c r="M803" s="3"/>
      <c r="N803" s="3"/>
      <c r="O803" s="1">
        <v>124000</v>
      </c>
      <c r="P803" s="3">
        <v>0</v>
      </c>
      <c r="Q803" s="3">
        <f t="shared" si="168"/>
        <v>2479897.41</v>
      </c>
      <c r="R803" s="3"/>
      <c r="S803" s="1"/>
      <c r="T803" s="79">
        <v>2022</v>
      </c>
      <c r="U803" s="79">
        <v>2022</v>
      </c>
    </row>
    <row r="804" spans="1:21" ht="15.75">
      <c r="A804" s="79">
        <f t="shared" si="165"/>
        <v>98</v>
      </c>
      <c r="B804" s="186" t="s">
        <v>911</v>
      </c>
      <c r="C804" s="81">
        <v>1966</v>
      </c>
      <c r="D804" s="79"/>
      <c r="E804" s="79"/>
      <c r="F804" s="92">
        <v>2830.7</v>
      </c>
      <c r="G804" s="92">
        <v>2830.2</v>
      </c>
      <c r="H804" s="2">
        <f t="shared" si="162"/>
        <v>2482532.17</v>
      </c>
      <c r="I804" s="3">
        <v>2358532.17</v>
      </c>
      <c r="J804" s="3"/>
      <c r="K804" s="1"/>
      <c r="L804" s="3"/>
      <c r="M804" s="3"/>
      <c r="N804" s="3"/>
      <c r="O804" s="1">
        <v>124000</v>
      </c>
      <c r="P804" s="3">
        <v>0</v>
      </c>
      <c r="Q804" s="3">
        <f t="shared" si="168"/>
        <v>2482532.17</v>
      </c>
      <c r="R804" s="3"/>
      <c r="S804" s="1"/>
      <c r="T804" s="79">
        <v>2022</v>
      </c>
      <c r="U804" s="79">
        <v>2022</v>
      </c>
    </row>
    <row r="805" spans="1:21" ht="15.75">
      <c r="A805" s="79">
        <f t="shared" si="165"/>
        <v>99</v>
      </c>
      <c r="B805" s="186" t="s">
        <v>912</v>
      </c>
      <c r="C805" s="81">
        <v>1966</v>
      </c>
      <c r="D805" s="79"/>
      <c r="E805" s="79"/>
      <c r="F805" s="92">
        <v>2736.7</v>
      </c>
      <c r="G805" s="92">
        <v>2704.3</v>
      </c>
      <c r="H805" s="2">
        <f t="shared" si="162"/>
        <v>2482532.17</v>
      </c>
      <c r="I805" s="3">
        <v>2358532.17</v>
      </c>
      <c r="J805" s="3"/>
      <c r="K805" s="1"/>
      <c r="L805" s="3"/>
      <c r="M805" s="3"/>
      <c r="N805" s="3"/>
      <c r="O805" s="1">
        <v>124000</v>
      </c>
      <c r="P805" s="3">
        <v>0</v>
      </c>
      <c r="Q805" s="3">
        <f t="shared" si="168"/>
        <v>2482532.17</v>
      </c>
      <c r="R805" s="3"/>
      <c r="S805" s="1"/>
      <c r="T805" s="79">
        <v>2022</v>
      </c>
      <c r="U805" s="79">
        <v>2022</v>
      </c>
    </row>
    <row r="806" spans="1:21" ht="15.75">
      <c r="A806" s="79">
        <f t="shared" si="165"/>
        <v>100</v>
      </c>
      <c r="B806" s="186" t="s">
        <v>913</v>
      </c>
      <c r="C806" s="81" t="s">
        <v>916</v>
      </c>
      <c r="D806" s="79"/>
      <c r="E806" s="79"/>
      <c r="F806" s="92">
        <v>2731.9</v>
      </c>
      <c r="G806" s="92">
        <v>2717.9</v>
      </c>
      <c r="H806" s="2">
        <f t="shared" si="162"/>
        <v>2482532.17</v>
      </c>
      <c r="I806" s="3">
        <v>2358532.17</v>
      </c>
      <c r="J806" s="3"/>
      <c r="K806" s="1"/>
      <c r="L806" s="3"/>
      <c r="M806" s="3"/>
      <c r="N806" s="3"/>
      <c r="O806" s="1">
        <v>124000</v>
      </c>
      <c r="P806" s="3">
        <v>0</v>
      </c>
      <c r="Q806" s="3">
        <f t="shared" si="168"/>
        <v>2482532.17</v>
      </c>
      <c r="R806" s="3"/>
      <c r="S806" s="1"/>
      <c r="T806" s="79">
        <v>2022</v>
      </c>
      <c r="U806" s="79">
        <v>2022</v>
      </c>
    </row>
    <row r="807" spans="1:21" ht="15.75">
      <c r="A807" s="79">
        <f t="shared" si="165"/>
        <v>101</v>
      </c>
      <c r="B807" s="186" t="s">
        <v>914</v>
      </c>
      <c r="C807" s="81" t="s">
        <v>358</v>
      </c>
      <c r="D807" s="79"/>
      <c r="E807" s="79"/>
      <c r="F807" s="92">
        <v>5811.1</v>
      </c>
      <c r="G807" s="92">
        <v>5621.7</v>
      </c>
      <c r="H807" s="2">
        <f t="shared" si="162"/>
        <v>2482532.17</v>
      </c>
      <c r="I807" s="3">
        <v>2358532.17</v>
      </c>
      <c r="J807" s="3"/>
      <c r="K807" s="1"/>
      <c r="L807" s="3"/>
      <c r="M807" s="3"/>
      <c r="N807" s="3"/>
      <c r="O807" s="1">
        <v>124000</v>
      </c>
      <c r="P807" s="3">
        <v>0</v>
      </c>
      <c r="Q807" s="3">
        <f t="shared" si="168"/>
        <v>2482532.17</v>
      </c>
      <c r="R807" s="3"/>
      <c r="S807" s="1"/>
      <c r="T807" s="79">
        <v>2022</v>
      </c>
      <c r="U807" s="79">
        <v>2022</v>
      </c>
    </row>
    <row r="808" spans="1:21" ht="15.75">
      <c r="A808" s="79">
        <f t="shared" si="165"/>
        <v>102</v>
      </c>
      <c r="B808" s="186" t="s">
        <v>915</v>
      </c>
      <c r="C808" s="81" t="s">
        <v>917</v>
      </c>
      <c r="D808" s="79"/>
      <c r="E808" s="79"/>
      <c r="F808" s="92">
        <v>3836.2</v>
      </c>
      <c r="G808" s="92">
        <v>3834.9</v>
      </c>
      <c r="H808" s="2">
        <f t="shared" si="162"/>
        <v>2482532.17</v>
      </c>
      <c r="I808" s="3">
        <v>2358532.17</v>
      </c>
      <c r="J808" s="3"/>
      <c r="K808" s="1"/>
      <c r="L808" s="3"/>
      <c r="M808" s="3"/>
      <c r="N808" s="3"/>
      <c r="O808" s="1">
        <v>124000</v>
      </c>
      <c r="P808" s="3">
        <v>0</v>
      </c>
      <c r="Q808" s="3">
        <f t="shared" si="168"/>
        <v>2482532.17</v>
      </c>
      <c r="R808" s="3"/>
      <c r="S808" s="1"/>
      <c r="T808" s="79">
        <v>2022</v>
      </c>
      <c r="U808" s="79">
        <v>2022</v>
      </c>
    </row>
    <row r="809" spans="1:21" ht="15.75">
      <c r="A809" s="79">
        <f t="shared" si="165"/>
        <v>103</v>
      </c>
      <c r="B809" s="186" t="s">
        <v>690</v>
      </c>
      <c r="C809" s="81">
        <v>1970</v>
      </c>
      <c r="D809" s="79"/>
      <c r="E809" s="79"/>
      <c r="F809" s="92">
        <v>4397.6000000000004</v>
      </c>
      <c r="G809" s="92">
        <v>4380.5</v>
      </c>
      <c r="H809" s="2">
        <f t="shared" si="162"/>
        <v>16380903.24</v>
      </c>
      <c r="I809" s="3">
        <v>0</v>
      </c>
      <c r="J809" s="3">
        <v>0</v>
      </c>
      <c r="K809" s="1">
        <f>ROUND(G809*3517.3*1.015,2)</f>
        <v>15638645.640000001</v>
      </c>
      <c r="L809" s="3">
        <v>0</v>
      </c>
      <c r="M809" s="3">
        <v>0</v>
      </c>
      <c r="N809" s="3">
        <v>0</v>
      </c>
      <c r="O809" s="1">
        <v>742257.6</v>
      </c>
      <c r="P809" s="3">
        <v>0</v>
      </c>
      <c r="Q809" s="3">
        <v>0</v>
      </c>
      <c r="R809" s="3">
        <v>0</v>
      </c>
      <c r="S809" s="1">
        <f>H809</f>
        <v>16380903.24</v>
      </c>
      <c r="T809" s="79">
        <v>2022</v>
      </c>
      <c r="U809" s="79">
        <v>2022</v>
      </c>
    </row>
    <row r="810" spans="1:21" ht="15.75">
      <c r="A810" s="79">
        <f t="shared" si="165"/>
        <v>104</v>
      </c>
      <c r="B810" s="186" t="s">
        <v>691</v>
      </c>
      <c r="C810" s="81" t="s">
        <v>692</v>
      </c>
      <c r="D810" s="79"/>
      <c r="E810" s="79"/>
      <c r="F810" s="92">
        <v>9668.5</v>
      </c>
      <c r="G810" s="92">
        <v>9393.5</v>
      </c>
      <c r="H810" s="2">
        <f t="shared" si="162"/>
        <v>18905711.969999999</v>
      </c>
      <c r="I810" s="3">
        <v>0</v>
      </c>
      <c r="J810" s="3">
        <v>0</v>
      </c>
      <c r="K810" s="1">
        <v>18250467.23</v>
      </c>
      <c r="L810" s="3">
        <v>0</v>
      </c>
      <c r="M810" s="3">
        <v>0</v>
      </c>
      <c r="N810" s="3">
        <v>0</v>
      </c>
      <c r="O810" s="1">
        <v>655244.74</v>
      </c>
      <c r="P810" s="3">
        <v>0</v>
      </c>
      <c r="Q810" s="3">
        <v>0</v>
      </c>
      <c r="R810" s="3">
        <v>0</v>
      </c>
      <c r="S810" s="1">
        <f>H810</f>
        <v>18905711.969999999</v>
      </c>
      <c r="T810" s="79">
        <v>2020</v>
      </c>
      <c r="U810" s="79">
        <v>2022</v>
      </c>
    </row>
    <row r="811" spans="1:21" ht="15.75">
      <c r="A811" s="79">
        <f t="shared" si="165"/>
        <v>105</v>
      </c>
      <c r="B811" s="186" t="s">
        <v>1005</v>
      </c>
      <c r="C811" s="81">
        <v>1950</v>
      </c>
      <c r="D811" s="79"/>
      <c r="E811" s="79"/>
      <c r="F811" s="92">
        <v>785.4</v>
      </c>
      <c r="G811" s="92">
        <v>709.9</v>
      </c>
      <c r="H811" s="2">
        <f t="shared" si="162"/>
        <v>10511496.300000001</v>
      </c>
      <c r="I811" s="3"/>
      <c r="J811" s="3"/>
      <c r="K811" s="1">
        <v>5114205.5199999996</v>
      </c>
      <c r="L811" s="3"/>
      <c r="M811" s="3">
        <v>3922756.99</v>
      </c>
      <c r="N811" s="3">
        <v>845194.38</v>
      </c>
      <c r="O811" s="1">
        <v>629339.41</v>
      </c>
      <c r="P811" s="3"/>
      <c r="Q811" s="3">
        <f>N811+M811+K811+O811</f>
        <v>10511496.300000001</v>
      </c>
      <c r="R811" s="3"/>
      <c r="S811" s="1"/>
      <c r="T811" s="79">
        <v>2022</v>
      </c>
      <c r="U811" s="79">
        <v>2023</v>
      </c>
    </row>
    <row r="812" spans="1:21" ht="15.75">
      <c r="A812" s="79">
        <f t="shared" si="165"/>
        <v>106</v>
      </c>
      <c r="B812" s="186" t="s">
        <v>918</v>
      </c>
      <c r="C812" s="81">
        <v>1970</v>
      </c>
      <c r="D812" s="79"/>
      <c r="E812" s="79"/>
      <c r="F812" s="92">
        <v>3410.8</v>
      </c>
      <c r="G812" s="92">
        <v>3315.6</v>
      </c>
      <c r="H812" s="2">
        <f t="shared" si="162"/>
        <v>2501151.2400000002</v>
      </c>
      <c r="I812" s="3">
        <v>2377151.2400000002</v>
      </c>
      <c r="J812" s="3"/>
      <c r="K812" s="1"/>
      <c r="L812" s="3"/>
      <c r="M812" s="3"/>
      <c r="N812" s="3"/>
      <c r="O812" s="1">
        <v>124000</v>
      </c>
      <c r="P812" s="3">
        <v>0</v>
      </c>
      <c r="Q812" s="3">
        <f>H812</f>
        <v>2501151.2400000002</v>
      </c>
      <c r="R812" s="3"/>
      <c r="S812" s="1"/>
      <c r="T812" s="79">
        <v>2022</v>
      </c>
      <c r="U812" s="79">
        <v>2022</v>
      </c>
    </row>
    <row r="813" spans="1:21" ht="15.75">
      <c r="A813" s="79">
        <f t="shared" si="165"/>
        <v>107</v>
      </c>
      <c r="B813" s="186" t="s">
        <v>428</v>
      </c>
      <c r="C813" s="81">
        <v>1968</v>
      </c>
      <c r="D813" s="79"/>
      <c r="E813" s="79"/>
      <c r="F813" s="92">
        <v>3031.1</v>
      </c>
      <c r="G813" s="92">
        <v>2906.7</v>
      </c>
      <c r="H813" s="2">
        <f t="shared" si="162"/>
        <v>11062969.15</v>
      </c>
      <c r="I813" s="3">
        <v>0</v>
      </c>
      <c r="J813" s="3">
        <v>0</v>
      </c>
      <c r="K813" s="1">
        <f>ROUND(G813*3517.3*1.015,2)</f>
        <v>10377091.949999999</v>
      </c>
      <c r="L813" s="3">
        <v>0</v>
      </c>
      <c r="M813" s="3">
        <v>0</v>
      </c>
      <c r="N813" s="3">
        <v>0</v>
      </c>
      <c r="O813" s="1">
        <v>685877.2</v>
      </c>
      <c r="P813" s="3">
        <v>0</v>
      </c>
      <c r="Q813" s="3"/>
      <c r="R813" s="3">
        <v>0</v>
      </c>
      <c r="S813" s="1">
        <f>H813</f>
        <v>11062969.15</v>
      </c>
      <c r="T813" s="79">
        <v>2022</v>
      </c>
      <c r="U813" s="79">
        <v>2022</v>
      </c>
    </row>
    <row r="814" spans="1:21" ht="15.75">
      <c r="A814" s="79">
        <f t="shared" si="165"/>
        <v>108</v>
      </c>
      <c r="B814" s="186" t="s">
        <v>919</v>
      </c>
      <c r="C814" s="81">
        <v>1967</v>
      </c>
      <c r="D814" s="79"/>
      <c r="E814" s="79"/>
      <c r="F814" s="92">
        <v>4433.1000000000004</v>
      </c>
      <c r="G814" s="92">
        <v>4401.8</v>
      </c>
      <c r="H814" s="2">
        <f t="shared" si="162"/>
        <v>2494125.16</v>
      </c>
      <c r="I814" s="3">
        <v>2370125.16</v>
      </c>
      <c r="J814" s="3"/>
      <c r="K814" s="1"/>
      <c r="L814" s="3"/>
      <c r="M814" s="3"/>
      <c r="N814" s="3"/>
      <c r="O814" s="1">
        <v>124000</v>
      </c>
      <c r="P814" s="3">
        <v>0</v>
      </c>
      <c r="Q814" s="3">
        <f t="shared" ref="Q814:Q819" si="169">H814</f>
        <v>2494125.16</v>
      </c>
      <c r="R814" s="3"/>
      <c r="S814" s="1"/>
      <c r="T814" s="79">
        <v>2022</v>
      </c>
      <c r="U814" s="79">
        <v>2022</v>
      </c>
    </row>
    <row r="815" spans="1:21" ht="15.75">
      <c r="A815" s="79">
        <f t="shared" si="165"/>
        <v>109</v>
      </c>
      <c r="B815" s="186" t="s">
        <v>920</v>
      </c>
      <c r="C815" s="81">
        <v>1980</v>
      </c>
      <c r="D815" s="79"/>
      <c r="E815" s="79"/>
      <c r="F815" s="92">
        <v>2707</v>
      </c>
      <c r="G815" s="92">
        <v>2398.5</v>
      </c>
      <c r="H815" s="2">
        <f t="shared" si="162"/>
        <v>2480073.04</v>
      </c>
      <c r="I815" s="3">
        <v>2356073.04</v>
      </c>
      <c r="J815" s="3"/>
      <c r="K815" s="1"/>
      <c r="L815" s="3"/>
      <c r="M815" s="3"/>
      <c r="N815" s="3"/>
      <c r="O815" s="1">
        <v>124000</v>
      </c>
      <c r="P815" s="3">
        <v>0</v>
      </c>
      <c r="Q815" s="3">
        <f t="shared" si="169"/>
        <v>2480073.04</v>
      </c>
      <c r="R815" s="3"/>
      <c r="S815" s="1"/>
      <c r="T815" s="79">
        <v>2022</v>
      </c>
      <c r="U815" s="79">
        <v>2022</v>
      </c>
    </row>
    <row r="816" spans="1:21" ht="15.75">
      <c r="A816" s="79">
        <f t="shared" si="165"/>
        <v>110</v>
      </c>
      <c r="B816" s="186" t="s">
        <v>921</v>
      </c>
      <c r="C816" s="81">
        <v>1981</v>
      </c>
      <c r="D816" s="79"/>
      <c r="E816" s="79"/>
      <c r="F816" s="92">
        <v>1886.3</v>
      </c>
      <c r="G816" s="92">
        <v>1215.5999999999999</v>
      </c>
      <c r="H816" s="2">
        <f t="shared" si="162"/>
        <v>2501151.2400000002</v>
      </c>
      <c r="I816" s="3">
        <v>2377151.2400000002</v>
      </c>
      <c r="J816" s="3"/>
      <c r="K816" s="1"/>
      <c r="L816" s="3"/>
      <c r="M816" s="3"/>
      <c r="N816" s="3"/>
      <c r="O816" s="1">
        <v>124000</v>
      </c>
      <c r="P816" s="3">
        <v>0</v>
      </c>
      <c r="Q816" s="3">
        <f t="shared" si="169"/>
        <v>2501151.2400000002</v>
      </c>
      <c r="R816" s="3"/>
      <c r="S816" s="1"/>
      <c r="T816" s="79">
        <v>2022</v>
      </c>
      <c r="U816" s="79">
        <v>2022</v>
      </c>
    </row>
    <row r="817" spans="1:21" ht="15.75">
      <c r="A817" s="79">
        <f t="shared" si="165"/>
        <v>111</v>
      </c>
      <c r="B817" s="186" t="s">
        <v>922</v>
      </c>
      <c r="C817" s="81">
        <v>1981</v>
      </c>
      <c r="D817" s="79"/>
      <c r="E817" s="79"/>
      <c r="F817" s="92">
        <v>4496</v>
      </c>
      <c r="G817" s="92">
        <v>3844.9</v>
      </c>
      <c r="H817" s="2">
        <f t="shared" si="162"/>
        <v>2480073.04</v>
      </c>
      <c r="I817" s="3">
        <v>2356073.04</v>
      </c>
      <c r="J817" s="3"/>
      <c r="K817" s="1"/>
      <c r="L817" s="3"/>
      <c r="M817" s="3"/>
      <c r="N817" s="3"/>
      <c r="O817" s="1">
        <v>124000</v>
      </c>
      <c r="P817" s="3">
        <v>0</v>
      </c>
      <c r="Q817" s="3">
        <f t="shared" si="169"/>
        <v>2480073.04</v>
      </c>
      <c r="R817" s="3"/>
      <c r="S817" s="1"/>
      <c r="T817" s="79">
        <v>2022</v>
      </c>
      <c r="U817" s="79">
        <v>2022</v>
      </c>
    </row>
    <row r="818" spans="1:21" ht="15.75">
      <c r="A818" s="79">
        <f t="shared" si="165"/>
        <v>112</v>
      </c>
      <c r="B818" s="186" t="s">
        <v>923</v>
      </c>
      <c r="C818" s="81">
        <v>1981</v>
      </c>
      <c r="D818" s="79"/>
      <c r="E818" s="79"/>
      <c r="F818" s="92">
        <v>4080.5</v>
      </c>
      <c r="G818" s="92">
        <v>4080.7</v>
      </c>
      <c r="H818" s="2">
        <f t="shared" si="162"/>
        <v>2480073.04</v>
      </c>
      <c r="I818" s="3">
        <v>2356073.04</v>
      </c>
      <c r="J818" s="3"/>
      <c r="K818" s="1"/>
      <c r="L818" s="3"/>
      <c r="M818" s="3"/>
      <c r="N818" s="3"/>
      <c r="O818" s="1">
        <v>124000</v>
      </c>
      <c r="P818" s="3">
        <v>0</v>
      </c>
      <c r="Q818" s="3">
        <f t="shared" si="169"/>
        <v>2480073.04</v>
      </c>
      <c r="R818" s="3"/>
      <c r="S818" s="1"/>
      <c r="T818" s="79">
        <v>2022</v>
      </c>
      <c r="U818" s="79">
        <v>2022</v>
      </c>
    </row>
    <row r="819" spans="1:21" ht="15.75">
      <c r="A819" s="79">
        <f t="shared" si="165"/>
        <v>113</v>
      </c>
      <c r="B819" s="186" t="s">
        <v>924</v>
      </c>
      <c r="C819" s="81">
        <v>1967</v>
      </c>
      <c r="D819" s="79"/>
      <c r="E819" s="79"/>
      <c r="F819" s="92">
        <v>5757.4</v>
      </c>
      <c r="G819" s="92">
        <v>3986.4</v>
      </c>
      <c r="H819" s="2">
        <f t="shared" si="162"/>
        <v>2480073.04</v>
      </c>
      <c r="I819" s="3">
        <v>2356073.04</v>
      </c>
      <c r="J819" s="3"/>
      <c r="K819" s="1"/>
      <c r="L819" s="3"/>
      <c r="M819" s="3"/>
      <c r="N819" s="3"/>
      <c r="O819" s="1">
        <v>124000</v>
      </c>
      <c r="P819" s="3">
        <v>0</v>
      </c>
      <c r="Q819" s="3">
        <f t="shared" si="169"/>
        <v>2480073.04</v>
      </c>
      <c r="R819" s="3"/>
      <c r="S819" s="1"/>
      <c r="T819" s="79">
        <v>2022</v>
      </c>
      <c r="U819" s="79">
        <v>2022</v>
      </c>
    </row>
    <row r="820" spans="1:21" ht="15.75">
      <c r="A820" s="79">
        <f t="shared" si="165"/>
        <v>114</v>
      </c>
      <c r="B820" s="186" t="s">
        <v>693</v>
      </c>
      <c r="C820" s="81">
        <v>1968</v>
      </c>
      <c r="D820" s="79"/>
      <c r="E820" s="79"/>
      <c r="F820" s="92">
        <v>4818.8999999999996</v>
      </c>
      <c r="G820" s="92">
        <v>4818.8999999999996</v>
      </c>
      <c r="H820" s="2">
        <f t="shared" si="162"/>
        <v>20444081.359999999</v>
      </c>
      <c r="I820" s="3">
        <v>2356073.04</v>
      </c>
      <c r="J820" s="3">
        <v>0</v>
      </c>
      <c r="K820" s="1">
        <f>ROUND(G820*3517.3*1.015,2)</f>
        <v>17203759.719999999</v>
      </c>
      <c r="L820" s="3">
        <v>0</v>
      </c>
      <c r="M820" s="3">
        <v>0</v>
      </c>
      <c r="N820" s="3">
        <v>0</v>
      </c>
      <c r="O820" s="1">
        <f>ROUND(760248.6+124000,2)</f>
        <v>884248.6</v>
      </c>
      <c r="P820" s="3">
        <v>0</v>
      </c>
      <c r="Q820" s="3">
        <f>I820+124000</f>
        <v>2480073.04</v>
      </c>
      <c r="R820" s="3">
        <v>0</v>
      </c>
      <c r="S820" s="1">
        <f>H820-Q820</f>
        <v>17964008.32</v>
      </c>
      <c r="T820" s="79">
        <v>2022</v>
      </c>
      <c r="U820" s="79">
        <v>2022</v>
      </c>
    </row>
    <row r="821" spans="1:21" ht="15.75">
      <c r="A821" s="79">
        <f t="shared" si="165"/>
        <v>115</v>
      </c>
      <c r="B821" s="186" t="s">
        <v>928</v>
      </c>
      <c r="C821" s="81">
        <v>1968</v>
      </c>
      <c r="D821" s="79"/>
      <c r="E821" s="79"/>
      <c r="F821" s="92">
        <v>5773</v>
      </c>
      <c r="G821" s="92">
        <v>5710.9</v>
      </c>
      <c r="H821" s="2">
        <f t="shared" si="162"/>
        <v>2480073.04</v>
      </c>
      <c r="I821" s="3">
        <v>2356073.04</v>
      </c>
      <c r="J821" s="3"/>
      <c r="K821" s="1"/>
      <c r="L821" s="3"/>
      <c r="M821" s="3"/>
      <c r="N821" s="3"/>
      <c r="O821" s="1">
        <v>124000</v>
      </c>
      <c r="P821" s="3"/>
      <c r="Q821" s="3">
        <f t="shared" ref="Q821:Q840" si="170">H821</f>
        <v>2480073.04</v>
      </c>
      <c r="R821" s="3"/>
      <c r="S821" s="1"/>
      <c r="T821" s="79">
        <v>2022</v>
      </c>
      <c r="U821" s="79">
        <v>2022</v>
      </c>
    </row>
    <row r="822" spans="1:21" ht="15.75">
      <c r="A822" s="79">
        <f t="shared" si="165"/>
        <v>116</v>
      </c>
      <c r="B822" s="186" t="s">
        <v>929</v>
      </c>
      <c r="C822" s="81" t="s">
        <v>500</v>
      </c>
      <c r="D822" s="79"/>
      <c r="E822" s="79"/>
      <c r="F822" s="92">
        <v>5924.7</v>
      </c>
      <c r="G822" s="92">
        <v>5801.3</v>
      </c>
      <c r="H822" s="2">
        <f t="shared" si="162"/>
        <v>2480073.04</v>
      </c>
      <c r="I822" s="3">
        <v>2356073.04</v>
      </c>
      <c r="J822" s="3"/>
      <c r="K822" s="1"/>
      <c r="L822" s="3"/>
      <c r="M822" s="3"/>
      <c r="N822" s="3"/>
      <c r="O822" s="1">
        <v>124000</v>
      </c>
      <c r="P822" s="3"/>
      <c r="Q822" s="3">
        <f t="shared" si="170"/>
        <v>2480073.04</v>
      </c>
      <c r="R822" s="3"/>
      <c r="S822" s="1"/>
      <c r="T822" s="79">
        <v>2022</v>
      </c>
      <c r="U822" s="79">
        <v>2022</v>
      </c>
    </row>
    <row r="823" spans="1:21" ht="15.75">
      <c r="A823" s="79">
        <f t="shared" si="165"/>
        <v>117</v>
      </c>
      <c r="B823" s="186" t="s">
        <v>930</v>
      </c>
      <c r="C823" s="81" t="s">
        <v>925</v>
      </c>
      <c r="D823" s="79"/>
      <c r="E823" s="79"/>
      <c r="F823" s="92">
        <v>3911.5</v>
      </c>
      <c r="G823" s="92">
        <v>3492.3</v>
      </c>
      <c r="H823" s="2">
        <f t="shared" ref="H823:H881" si="171">I823+J823+K823+L823+M823+N823+O823</f>
        <v>2480073.0499999998</v>
      </c>
      <c r="I823" s="3">
        <v>2356073.0499999998</v>
      </c>
      <c r="J823" s="3"/>
      <c r="K823" s="1"/>
      <c r="L823" s="3"/>
      <c r="M823" s="3"/>
      <c r="N823" s="3"/>
      <c r="O823" s="1">
        <v>124000</v>
      </c>
      <c r="P823" s="3"/>
      <c r="Q823" s="3">
        <f t="shared" si="170"/>
        <v>2480073.0499999998</v>
      </c>
      <c r="R823" s="3"/>
      <c r="S823" s="1"/>
      <c r="T823" s="79">
        <v>2022</v>
      </c>
      <c r="U823" s="79">
        <v>2022</v>
      </c>
    </row>
    <row r="824" spans="1:21" ht="15.75">
      <c r="A824" s="79">
        <f t="shared" ref="A824:A884" si="172">A823+1</f>
        <v>118</v>
      </c>
      <c r="B824" s="186" t="s">
        <v>931</v>
      </c>
      <c r="C824" s="81">
        <v>1987</v>
      </c>
      <c r="D824" s="79"/>
      <c r="E824" s="79"/>
      <c r="F824" s="92">
        <v>2825.7</v>
      </c>
      <c r="G824" s="92">
        <v>2808.1</v>
      </c>
      <c r="H824" s="2">
        <f t="shared" si="171"/>
        <v>2480073.04</v>
      </c>
      <c r="I824" s="3">
        <v>2356073.04</v>
      </c>
      <c r="J824" s="3"/>
      <c r="K824" s="1"/>
      <c r="L824" s="3"/>
      <c r="M824" s="3"/>
      <c r="N824" s="3"/>
      <c r="O824" s="1">
        <v>124000</v>
      </c>
      <c r="P824" s="3"/>
      <c r="Q824" s="3">
        <f t="shared" si="170"/>
        <v>2480073.04</v>
      </c>
      <c r="R824" s="3"/>
      <c r="S824" s="1"/>
      <c r="T824" s="79">
        <v>2022</v>
      </c>
      <c r="U824" s="79">
        <v>2022</v>
      </c>
    </row>
    <row r="825" spans="1:21" ht="15.75">
      <c r="A825" s="79">
        <f t="shared" si="172"/>
        <v>119</v>
      </c>
      <c r="B825" s="186" t="s">
        <v>932</v>
      </c>
      <c r="C825" s="81" t="s">
        <v>926</v>
      </c>
      <c r="D825" s="79"/>
      <c r="E825" s="79"/>
      <c r="F825" s="92">
        <v>2747.5</v>
      </c>
      <c r="G825" s="92">
        <v>2716.1</v>
      </c>
      <c r="H825" s="2">
        <f t="shared" si="171"/>
        <v>2480073.04</v>
      </c>
      <c r="I825" s="3">
        <v>2356073.04</v>
      </c>
      <c r="J825" s="3"/>
      <c r="K825" s="1"/>
      <c r="L825" s="3"/>
      <c r="M825" s="3"/>
      <c r="N825" s="3"/>
      <c r="O825" s="1">
        <v>124000</v>
      </c>
      <c r="P825" s="3"/>
      <c r="Q825" s="3">
        <f t="shared" si="170"/>
        <v>2480073.04</v>
      </c>
      <c r="R825" s="3"/>
      <c r="S825" s="1"/>
      <c r="T825" s="79">
        <v>2022</v>
      </c>
      <c r="U825" s="79">
        <v>2022</v>
      </c>
    </row>
    <row r="826" spans="1:21" ht="15.75">
      <c r="A826" s="79">
        <f t="shared" si="172"/>
        <v>120</v>
      </c>
      <c r="B826" s="186" t="s">
        <v>933</v>
      </c>
      <c r="C826" s="81">
        <v>1969</v>
      </c>
      <c r="D826" s="79"/>
      <c r="E826" s="79"/>
      <c r="F826" s="92">
        <v>3900.9</v>
      </c>
      <c r="G826" s="92">
        <v>3644.5</v>
      </c>
      <c r="H826" s="2">
        <f t="shared" si="171"/>
        <v>2480073.0499999998</v>
      </c>
      <c r="I826" s="3">
        <v>2356073.0499999998</v>
      </c>
      <c r="J826" s="3"/>
      <c r="K826" s="1"/>
      <c r="L826" s="3"/>
      <c r="M826" s="3"/>
      <c r="N826" s="3"/>
      <c r="O826" s="1">
        <v>124000</v>
      </c>
      <c r="P826" s="3"/>
      <c r="Q826" s="3">
        <f t="shared" si="170"/>
        <v>2480073.0499999998</v>
      </c>
      <c r="R826" s="3"/>
      <c r="S826" s="1"/>
      <c r="T826" s="79">
        <v>2022</v>
      </c>
      <c r="U826" s="79">
        <v>2022</v>
      </c>
    </row>
    <row r="827" spans="1:21" ht="15.75">
      <c r="A827" s="79">
        <f t="shared" si="172"/>
        <v>121</v>
      </c>
      <c r="B827" s="186" t="s">
        <v>934</v>
      </c>
      <c r="C827" s="81">
        <v>1969</v>
      </c>
      <c r="D827" s="79"/>
      <c r="E827" s="79"/>
      <c r="F827" s="92">
        <v>4463.3999999999996</v>
      </c>
      <c r="G827" s="92">
        <v>4433.2</v>
      </c>
      <c r="H827" s="2">
        <f t="shared" si="171"/>
        <v>2480073.0499999998</v>
      </c>
      <c r="I827" s="3">
        <v>2356073.0499999998</v>
      </c>
      <c r="J827" s="3"/>
      <c r="K827" s="1"/>
      <c r="L827" s="3"/>
      <c r="M827" s="3"/>
      <c r="N827" s="3"/>
      <c r="O827" s="1">
        <v>124000</v>
      </c>
      <c r="P827" s="3"/>
      <c r="Q827" s="3">
        <f t="shared" si="170"/>
        <v>2480073.0499999998</v>
      </c>
      <c r="R827" s="3"/>
      <c r="S827" s="1"/>
      <c r="T827" s="79">
        <v>2022</v>
      </c>
      <c r="U827" s="79">
        <v>2022</v>
      </c>
    </row>
    <row r="828" spans="1:21" ht="15.75">
      <c r="A828" s="79">
        <f t="shared" si="172"/>
        <v>122</v>
      </c>
      <c r="B828" s="186" t="s">
        <v>935</v>
      </c>
      <c r="C828" s="81">
        <v>1969</v>
      </c>
      <c r="D828" s="79"/>
      <c r="E828" s="79"/>
      <c r="F828" s="92">
        <v>2762.9</v>
      </c>
      <c r="G828" s="92">
        <v>2762.9</v>
      </c>
      <c r="H828" s="2">
        <f t="shared" si="171"/>
        <v>2480073.0499999998</v>
      </c>
      <c r="I828" s="3">
        <v>2356073.0499999998</v>
      </c>
      <c r="J828" s="3"/>
      <c r="K828" s="1"/>
      <c r="L828" s="3"/>
      <c r="M828" s="3"/>
      <c r="N828" s="3"/>
      <c r="O828" s="1">
        <v>124000</v>
      </c>
      <c r="P828" s="3"/>
      <c r="Q828" s="3">
        <f t="shared" si="170"/>
        <v>2480073.0499999998</v>
      </c>
      <c r="R828" s="3"/>
      <c r="S828" s="1"/>
      <c r="T828" s="79">
        <v>2022</v>
      </c>
      <c r="U828" s="79">
        <v>2022</v>
      </c>
    </row>
    <row r="829" spans="1:21" ht="15.75">
      <c r="A829" s="79">
        <f t="shared" si="172"/>
        <v>123</v>
      </c>
      <c r="B829" s="186" t="s">
        <v>936</v>
      </c>
      <c r="C829" s="81">
        <v>1969</v>
      </c>
      <c r="D829" s="79"/>
      <c r="E829" s="79"/>
      <c r="F829" s="92">
        <v>2928</v>
      </c>
      <c r="G829" s="92">
        <v>2731.2</v>
      </c>
      <c r="H829" s="2">
        <f t="shared" si="171"/>
        <v>2480073.0499999998</v>
      </c>
      <c r="I829" s="3">
        <v>2356073.0499999998</v>
      </c>
      <c r="J829" s="3"/>
      <c r="K829" s="1"/>
      <c r="L829" s="3"/>
      <c r="M829" s="3"/>
      <c r="N829" s="3"/>
      <c r="O829" s="1">
        <v>124000</v>
      </c>
      <c r="P829" s="3"/>
      <c r="Q829" s="3">
        <f t="shared" si="170"/>
        <v>2480073.0499999998</v>
      </c>
      <c r="R829" s="3"/>
      <c r="S829" s="1"/>
      <c r="T829" s="79">
        <v>2022</v>
      </c>
      <c r="U829" s="79">
        <v>2022</v>
      </c>
    </row>
    <row r="830" spans="1:21" ht="15.75">
      <c r="A830" s="79">
        <f t="shared" si="172"/>
        <v>124</v>
      </c>
      <c r="B830" s="186" t="s">
        <v>937</v>
      </c>
      <c r="C830" s="81" t="s">
        <v>927</v>
      </c>
      <c r="D830" s="79"/>
      <c r="E830" s="79"/>
      <c r="F830" s="92">
        <v>2681.2</v>
      </c>
      <c r="G830" s="92">
        <v>2664</v>
      </c>
      <c r="H830" s="2">
        <f t="shared" si="171"/>
        <v>2480073.0499999998</v>
      </c>
      <c r="I830" s="3">
        <v>2356073.0499999998</v>
      </c>
      <c r="J830" s="3"/>
      <c r="K830" s="1"/>
      <c r="L830" s="3"/>
      <c r="M830" s="3"/>
      <c r="N830" s="3"/>
      <c r="O830" s="1">
        <v>124000</v>
      </c>
      <c r="P830" s="3"/>
      <c r="Q830" s="3">
        <f t="shared" si="170"/>
        <v>2480073.0499999998</v>
      </c>
      <c r="R830" s="3"/>
      <c r="S830" s="1"/>
      <c r="T830" s="79">
        <v>2022</v>
      </c>
      <c r="U830" s="79">
        <v>2022</v>
      </c>
    </row>
    <row r="831" spans="1:21" ht="15.75">
      <c r="A831" s="79">
        <f t="shared" si="172"/>
        <v>125</v>
      </c>
      <c r="B831" s="186" t="s">
        <v>1075</v>
      </c>
      <c r="C831" s="81">
        <v>1976</v>
      </c>
      <c r="D831" s="79"/>
      <c r="E831" s="79" t="s">
        <v>1066</v>
      </c>
      <c r="F831" s="92">
        <v>4828.8999999999996</v>
      </c>
      <c r="G831" s="92">
        <v>4357.6000000000004</v>
      </c>
      <c r="H831" s="2">
        <f t="shared" si="171"/>
        <v>4265788.74</v>
      </c>
      <c r="I831" s="3">
        <v>3990042.86</v>
      </c>
      <c r="J831" s="3"/>
      <c r="K831" s="1"/>
      <c r="L831" s="3"/>
      <c r="M831" s="3"/>
      <c r="N831" s="3"/>
      <c r="O831" s="1">
        <v>275745.88</v>
      </c>
      <c r="P831" s="3"/>
      <c r="Q831" s="3">
        <f t="shared" si="170"/>
        <v>4265788.74</v>
      </c>
      <c r="R831" s="3"/>
      <c r="S831" s="1"/>
      <c r="T831" s="79">
        <v>2022</v>
      </c>
      <c r="U831" s="79">
        <v>2023</v>
      </c>
    </row>
    <row r="832" spans="1:21" ht="15.75">
      <c r="A832" s="79">
        <f t="shared" si="172"/>
        <v>126</v>
      </c>
      <c r="B832" s="186" t="s">
        <v>938</v>
      </c>
      <c r="C832" s="81" t="s">
        <v>212</v>
      </c>
      <c r="D832" s="79"/>
      <c r="E832" s="79"/>
      <c r="F832" s="92">
        <v>3837.3</v>
      </c>
      <c r="G832" s="92">
        <v>3806.1</v>
      </c>
      <c r="H832" s="2">
        <f t="shared" si="171"/>
        <v>2480073.0499999998</v>
      </c>
      <c r="I832" s="3">
        <v>2356073.0499999998</v>
      </c>
      <c r="J832" s="3"/>
      <c r="K832" s="1"/>
      <c r="L832" s="3"/>
      <c r="M832" s="3"/>
      <c r="N832" s="3"/>
      <c r="O832" s="1">
        <v>124000</v>
      </c>
      <c r="P832" s="3"/>
      <c r="Q832" s="3">
        <f t="shared" si="170"/>
        <v>2480073.0499999998</v>
      </c>
      <c r="R832" s="3"/>
      <c r="S832" s="1"/>
      <c r="T832" s="79">
        <v>2022</v>
      </c>
      <c r="U832" s="79">
        <v>2022</v>
      </c>
    </row>
    <row r="833" spans="1:21" ht="15.75">
      <c r="A833" s="182">
        <f t="shared" si="172"/>
        <v>127</v>
      </c>
      <c r="B833" s="186" t="s">
        <v>939</v>
      </c>
      <c r="C833" s="190">
        <v>1970</v>
      </c>
      <c r="D833" s="182"/>
      <c r="E833" s="182"/>
      <c r="F833" s="180">
        <v>4398.5</v>
      </c>
      <c r="G833" s="180">
        <v>4380.8999999999996</v>
      </c>
      <c r="H833" s="2">
        <f t="shared" si="171"/>
        <v>2480073.0499999998</v>
      </c>
      <c r="I833" s="3">
        <v>2356073.0499999998</v>
      </c>
      <c r="J833" s="3"/>
      <c r="K833" s="1"/>
      <c r="L833" s="3"/>
      <c r="M833" s="3"/>
      <c r="N833" s="3"/>
      <c r="O833" s="1">
        <v>124000</v>
      </c>
      <c r="P833" s="3"/>
      <c r="Q833" s="3">
        <f t="shared" si="170"/>
        <v>2480073.0499999998</v>
      </c>
      <c r="R833" s="3"/>
      <c r="S833" s="1"/>
      <c r="T833" s="182">
        <v>2022</v>
      </c>
      <c r="U833" s="182">
        <v>2022</v>
      </c>
    </row>
    <row r="834" spans="1:21" ht="15.75">
      <c r="A834" s="182">
        <f t="shared" si="172"/>
        <v>128</v>
      </c>
      <c r="B834" s="186" t="s">
        <v>940</v>
      </c>
      <c r="C834" s="190">
        <v>1966</v>
      </c>
      <c r="D834" s="182"/>
      <c r="E834" s="182"/>
      <c r="F834" s="180">
        <v>3035.1</v>
      </c>
      <c r="G834" s="180">
        <v>2734.8</v>
      </c>
      <c r="H834" s="2">
        <f t="shared" si="171"/>
        <v>2480073.0499999998</v>
      </c>
      <c r="I834" s="3">
        <v>2356073.0499999998</v>
      </c>
      <c r="J834" s="3"/>
      <c r="K834" s="1"/>
      <c r="L834" s="3"/>
      <c r="M834" s="3"/>
      <c r="N834" s="3"/>
      <c r="O834" s="1">
        <v>124000</v>
      </c>
      <c r="P834" s="3"/>
      <c r="Q834" s="3">
        <f t="shared" si="170"/>
        <v>2480073.0499999998</v>
      </c>
      <c r="R834" s="3"/>
      <c r="S834" s="1"/>
      <c r="T834" s="182">
        <v>2022</v>
      </c>
      <c r="U834" s="182">
        <v>2022</v>
      </c>
    </row>
    <row r="835" spans="1:21" ht="15.75">
      <c r="A835" s="182">
        <f t="shared" si="172"/>
        <v>129</v>
      </c>
      <c r="B835" s="186" t="s">
        <v>941</v>
      </c>
      <c r="C835" s="190" t="s">
        <v>917</v>
      </c>
      <c r="D835" s="182"/>
      <c r="E835" s="182"/>
      <c r="F835" s="180">
        <v>3889.1</v>
      </c>
      <c r="G835" s="180">
        <v>3888.5</v>
      </c>
      <c r="H835" s="2">
        <f t="shared" si="171"/>
        <v>2480073.0499999998</v>
      </c>
      <c r="I835" s="3">
        <v>2356073.0499999998</v>
      </c>
      <c r="J835" s="3"/>
      <c r="K835" s="1"/>
      <c r="L835" s="3"/>
      <c r="M835" s="3"/>
      <c r="N835" s="3"/>
      <c r="O835" s="1">
        <v>124000</v>
      </c>
      <c r="P835" s="3"/>
      <c r="Q835" s="3">
        <f t="shared" si="170"/>
        <v>2480073.0499999998</v>
      </c>
      <c r="R835" s="3"/>
      <c r="S835" s="1"/>
      <c r="T835" s="182">
        <v>2022</v>
      </c>
      <c r="U835" s="182">
        <v>2022</v>
      </c>
    </row>
    <row r="836" spans="1:21" ht="15.75">
      <c r="A836" s="182">
        <f t="shared" si="172"/>
        <v>130</v>
      </c>
      <c r="B836" s="186" t="s">
        <v>942</v>
      </c>
      <c r="C836" s="190" t="s">
        <v>917</v>
      </c>
      <c r="D836" s="182"/>
      <c r="E836" s="182"/>
      <c r="F836" s="180">
        <v>3883.9</v>
      </c>
      <c r="G836" s="180">
        <v>3883.1</v>
      </c>
      <c r="H836" s="2">
        <f t="shared" si="171"/>
        <v>2480073.0499999998</v>
      </c>
      <c r="I836" s="3">
        <v>2356073.0499999998</v>
      </c>
      <c r="J836" s="3"/>
      <c r="K836" s="1"/>
      <c r="L836" s="3"/>
      <c r="M836" s="3"/>
      <c r="N836" s="3"/>
      <c r="O836" s="1">
        <v>124000</v>
      </c>
      <c r="P836" s="3"/>
      <c r="Q836" s="3">
        <f t="shared" si="170"/>
        <v>2480073.0499999998</v>
      </c>
      <c r="R836" s="3"/>
      <c r="S836" s="1"/>
      <c r="T836" s="182">
        <v>2022</v>
      </c>
      <c r="U836" s="182">
        <v>2022</v>
      </c>
    </row>
    <row r="837" spans="1:21" ht="15.75">
      <c r="A837" s="182">
        <f t="shared" si="172"/>
        <v>131</v>
      </c>
      <c r="B837" s="186" t="s">
        <v>943</v>
      </c>
      <c r="C837" s="190">
        <v>1970</v>
      </c>
      <c r="D837" s="182"/>
      <c r="E837" s="182"/>
      <c r="F837" s="180">
        <v>3502.6</v>
      </c>
      <c r="G837" s="180">
        <v>3499.6</v>
      </c>
      <c r="H837" s="2">
        <f t="shared" si="171"/>
        <v>2480073.0499999998</v>
      </c>
      <c r="I837" s="3">
        <v>2356073.0499999998</v>
      </c>
      <c r="J837" s="3"/>
      <c r="K837" s="1"/>
      <c r="L837" s="3"/>
      <c r="M837" s="3"/>
      <c r="N837" s="3"/>
      <c r="O837" s="1">
        <v>124000</v>
      </c>
      <c r="P837" s="3"/>
      <c r="Q837" s="3">
        <f t="shared" si="170"/>
        <v>2480073.0499999998</v>
      </c>
      <c r="R837" s="3"/>
      <c r="S837" s="1"/>
      <c r="T837" s="182">
        <v>2022</v>
      </c>
      <c r="U837" s="182">
        <v>2022</v>
      </c>
    </row>
    <row r="838" spans="1:21" ht="15.75">
      <c r="A838" s="182">
        <f t="shared" si="172"/>
        <v>132</v>
      </c>
      <c r="B838" s="186" t="s">
        <v>944</v>
      </c>
      <c r="C838" s="190">
        <v>1971</v>
      </c>
      <c r="D838" s="182"/>
      <c r="E838" s="182"/>
      <c r="F838" s="180">
        <v>3470.5</v>
      </c>
      <c r="G838" s="180">
        <v>3466.8</v>
      </c>
      <c r="H838" s="2">
        <f t="shared" si="171"/>
        <v>2480073.0499999998</v>
      </c>
      <c r="I838" s="3">
        <v>2356073.0499999998</v>
      </c>
      <c r="J838" s="3"/>
      <c r="K838" s="1"/>
      <c r="L838" s="3"/>
      <c r="M838" s="3"/>
      <c r="N838" s="3"/>
      <c r="O838" s="1">
        <v>124000</v>
      </c>
      <c r="P838" s="3"/>
      <c r="Q838" s="3">
        <f t="shared" si="170"/>
        <v>2480073.0499999998</v>
      </c>
      <c r="R838" s="3"/>
      <c r="S838" s="1"/>
      <c r="T838" s="182">
        <v>2022</v>
      </c>
      <c r="U838" s="182">
        <v>2022</v>
      </c>
    </row>
    <row r="839" spans="1:21" ht="15.75">
      <c r="A839" s="182">
        <f t="shared" si="172"/>
        <v>133</v>
      </c>
      <c r="B839" s="186" t="s">
        <v>1006</v>
      </c>
      <c r="C839" s="190">
        <v>1936</v>
      </c>
      <c r="D839" s="182"/>
      <c r="E839" s="182"/>
      <c r="F839" s="180">
        <v>2803</v>
      </c>
      <c r="G839" s="180">
        <v>2803</v>
      </c>
      <c r="H839" s="2">
        <f t="shared" si="171"/>
        <v>1290310.93</v>
      </c>
      <c r="I839" s="3">
        <v>1206908.6299999999</v>
      </c>
      <c r="J839" s="3"/>
      <c r="K839" s="1"/>
      <c r="L839" s="3"/>
      <c r="M839" s="3"/>
      <c r="N839" s="3"/>
      <c r="O839" s="1">
        <v>83402.3</v>
      </c>
      <c r="P839" s="3"/>
      <c r="Q839" s="3">
        <f t="shared" si="170"/>
        <v>1290310.93</v>
      </c>
      <c r="R839" s="3"/>
      <c r="S839" s="1"/>
      <c r="T839" s="182">
        <v>2022</v>
      </c>
      <c r="U839" s="182">
        <v>2023</v>
      </c>
    </row>
    <row r="840" spans="1:21" ht="15.75">
      <c r="A840" s="182">
        <f t="shared" si="172"/>
        <v>134</v>
      </c>
      <c r="B840" s="186" t="s">
        <v>1063</v>
      </c>
      <c r="C840" s="190">
        <v>1952</v>
      </c>
      <c r="D840" s="182"/>
      <c r="E840" s="182"/>
      <c r="F840" s="180">
        <v>2100.1</v>
      </c>
      <c r="G840" s="180">
        <v>2100.1</v>
      </c>
      <c r="H840" s="2">
        <f t="shared" si="171"/>
        <v>12102621.25</v>
      </c>
      <c r="I840" s="3"/>
      <c r="J840" s="3"/>
      <c r="K840" s="1">
        <v>11437740.800000001</v>
      </c>
      <c r="L840" s="3"/>
      <c r="M840" s="3"/>
      <c r="N840" s="3"/>
      <c r="O840" s="1">
        <v>664880.44999999995</v>
      </c>
      <c r="P840" s="3"/>
      <c r="Q840" s="3">
        <f t="shared" si="170"/>
        <v>12102621.25</v>
      </c>
      <c r="R840" s="3"/>
      <c r="S840" s="1"/>
      <c r="T840" s="182">
        <v>2022</v>
      </c>
      <c r="U840" s="182">
        <v>2023</v>
      </c>
    </row>
    <row r="841" spans="1:21" ht="15.75">
      <c r="A841" s="182">
        <f t="shared" si="172"/>
        <v>135</v>
      </c>
      <c r="B841" s="186" t="s">
        <v>1065</v>
      </c>
      <c r="C841" s="190">
        <v>1973</v>
      </c>
      <c r="D841" s="182"/>
      <c r="E841" s="182"/>
      <c r="F841" s="180">
        <v>5379.6</v>
      </c>
      <c r="G841" s="180">
        <v>4991.6000000000004</v>
      </c>
      <c r="H841" s="2">
        <f t="shared" si="171"/>
        <v>64931595.130000003</v>
      </c>
      <c r="I841" s="3">
        <f>16221481.8+3372346.42+4849258.92+2758306.6</f>
        <v>27201393.739999998</v>
      </c>
      <c r="J841" s="3">
        <v>0</v>
      </c>
      <c r="K841" s="1">
        <f>ROUND(3727.29*G841*1.015,2)</f>
        <v>18884217.879999999</v>
      </c>
      <c r="L841" s="3">
        <v>0</v>
      </c>
      <c r="M841" s="3">
        <f>ROUND(3435.59*G841*1.015,2)</f>
        <v>17406327.41</v>
      </c>
      <c r="N841" s="3">
        <v>0</v>
      </c>
      <c r="O841" s="1">
        <f>997058.37+442597.73</f>
        <v>1439656.1</v>
      </c>
      <c r="P841" s="3">
        <v>0</v>
      </c>
      <c r="Q841" s="3">
        <v>8050163.25</v>
      </c>
      <c r="R841" s="3">
        <v>0</v>
      </c>
      <c r="S841" s="1">
        <f>H841-Q841</f>
        <v>56881431.880000003</v>
      </c>
      <c r="T841" s="182">
        <v>2020</v>
      </c>
      <c r="U841" s="182" t="s">
        <v>1076</v>
      </c>
    </row>
    <row r="842" spans="1:21" ht="15.75">
      <c r="A842" s="182">
        <f t="shared" si="172"/>
        <v>136</v>
      </c>
      <c r="B842" s="186" t="s">
        <v>1018</v>
      </c>
      <c r="C842" s="190">
        <v>1976</v>
      </c>
      <c r="D842" s="182"/>
      <c r="E842" s="182"/>
      <c r="F842" s="180">
        <v>8728.9</v>
      </c>
      <c r="G842" s="180">
        <v>8728.9</v>
      </c>
      <c r="H842" s="2">
        <f t="shared" si="171"/>
        <v>8869165.7300000004</v>
      </c>
      <c r="I842" s="3"/>
      <c r="J842" s="3">
        <v>8647436.5899999999</v>
      </c>
      <c r="K842" s="1"/>
      <c r="L842" s="3"/>
      <c r="M842" s="3"/>
      <c r="N842" s="3"/>
      <c r="O842" s="1">
        <v>221729.14</v>
      </c>
      <c r="P842" s="3"/>
      <c r="Q842" s="3"/>
      <c r="R842" s="3"/>
      <c r="S842" s="1">
        <f>O842+J842</f>
        <v>8869165.7300000004</v>
      </c>
      <c r="T842" s="182">
        <v>2022</v>
      </c>
      <c r="U842" s="182">
        <v>2022</v>
      </c>
    </row>
    <row r="843" spans="1:21" ht="15.75">
      <c r="A843" s="182">
        <f t="shared" si="172"/>
        <v>137</v>
      </c>
      <c r="B843" s="186" t="s">
        <v>1019</v>
      </c>
      <c r="C843" s="190">
        <v>1975</v>
      </c>
      <c r="D843" s="182"/>
      <c r="E843" s="182"/>
      <c r="F843" s="180">
        <v>4531</v>
      </c>
      <c r="G843" s="180">
        <v>4531</v>
      </c>
      <c r="H843" s="2">
        <f t="shared" si="171"/>
        <v>4434582.8600000003</v>
      </c>
      <c r="I843" s="3"/>
      <c r="J843" s="3">
        <v>4323718.29</v>
      </c>
      <c r="K843" s="1"/>
      <c r="L843" s="3"/>
      <c r="M843" s="3"/>
      <c r="N843" s="3"/>
      <c r="O843" s="1">
        <v>110864.57</v>
      </c>
      <c r="P843" s="3"/>
      <c r="Q843" s="3"/>
      <c r="R843" s="3"/>
      <c r="S843" s="1">
        <f>O843+J843</f>
        <v>4434582.8600000003</v>
      </c>
      <c r="T843" s="182">
        <v>2022</v>
      </c>
      <c r="U843" s="182">
        <v>2022</v>
      </c>
    </row>
    <row r="844" spans="1:21" ht="16.5" customHeight="1">
      <c r="A844" s="182">
        <f t="shared" si="172"/>
        <v>138</v>
      </c>
      <c r="B844" s="186" t="s">
        <v>1020</v>
      </c>
      <c r="C844" s="190">
        <v>1977</v>
      </c>
      <c r="D844" s="182"/>
      <c r="E844" s="182"/>
      <c r="F844" s="180">
        <v>3551.7</v>
      </c>
      <c r="G844" s="180">
        <v>3551.7</v>
      </c>
      <c r="H844" s="2">
        <f t="shared" si="171"/>
        <v>2217291.4300000002</v>
      </c>
      <c r="I844" s="3"/>
      <c r="J844" s="3">
        <v>2161859.15</v>
      </c>
      <c r="K844" s="1"/>
      <c r="L844" s="3"/>
      <c r="M844" s="3"/>
      <c r="N844" s="3"/>
      <c r="O844" s="1">
        <v>55432.28</v>
      </c>
      <c r="P844" s="3"/>
      <c r="Q844" s="3"/>
      <c r="R844" s="3"/>
      <c r="S844" s="1">
        <f>O844+J844</f>
        <v>2217291.4300000002</v>
      </c>
      <c r="T844" s="182">
        <v>2022</v>
      </c>
      <c r="U844" s="182">
        <v>2022</v>
      </c>
    </row>
    <row r="845" spans="1:21" ht="15.75">
      <c r="A845" s="182">
        <f t="shared" si="172"/>
        <v>139</v>
      </c>
      <c r="B845" s="186" t="s">
        <v>1021</v>
      </c>
      <c r="C845" s="190">
        <v>1976</v>
      </c>
      <c r="D845" s="182"/>
      <c r="E845" s="182"/>
      <c r="F845" s="180">
        <v>13115.9</v>
      </c>
      <c r="G845" s="180">
        <v>13115.9</v>
      </c>
      <c r="H845" s="2">
        <f t="shared" si="171"/>
        <v>13303748.59</v>
      </c>
      <c r="I845" s="3"/>
      <c r="J845" s="3">
        <v>12971154.880000001</v>
      </c>
      <c r="K845" s="1"/>
      <c r="L845" s="3"/>
      <c r="M845" s="3"/>
      <c r="N845" s="3"/>
      <c r="O845" s="1">
        <v>332593.71000000002</v>
      </c>
      <c r="P845" s="3"/>
      <c r="Q845" s="3"/>
      <c r="R845" s="3"/>
      <c r="S845" s="1">
        <f>O845+J845</f>
        <v>13303748.59</v>
      </c>
      <c r="T845" s="182">
        <v>2022</v>
      </c>
      <c r="U845" s="182">
        <v>2022</v>
      </c>
    </row>
    <row r="846" spans="1:21" ht="15.75">
      <c r="A846" s="182">
        <f t="shared" si="172"/>
        <v>140</v>
      </c>
      <c r="B846" s="186" t="s">
        <v>945</v>
      </c>
      <c r="C846" s="190">
        <v>1972</v>
      </c>
      <c r="D846" s="182"/>
      <c r="E846" s="182"/>
      <c r="F846" s="180">
        <v>4723.8999999999996</v>
      </c>
      <c r="G846" s="180">
        <v>4713.1000000000004</v>
      </c>
      <c r="H846" s="2">
        <f t="shared" si="171"/>
        <v>2482532.17</v>
      </c>
      <c r="I846" s="3">
        <v>2358532.17</v>
      </c>
      <c r="J846" s="3"/>
      <c r="K846" s="1"/>
      <c r="L846" s="3"/>
      <c r="M846" s="3"/>
      <c r="N846" s="3"/>
      <c r="O846" s="1">
        <v>124000</v>
      </c>
      <c r="P846" s="3"/>
      <c r="Q846" s="3">
        <f t="shared" ref="Q846:Q860" si="173">H846</f>
        <v>2482532.17</v>
      </c>
      <c r="R846" s="3"/>
      <c r="S846" s="1"/>
      <c r="T846" s="182">
        <v>2022</v>
      </c>
      <c r="U846" s="182">
        <v>2022</v>
      </c>
    </row>
    <row r="847" spans="1:21" ht="15.75">
      <c r="A847" s="182">
        <f t="shared" si="172"/>
        <v>141</v>
      </c>
      <c r="B847" s="186" t="s">
        <v>946</v>
      </c>
      <c r="C847" s="190">
        <v>1970</v>
      </c>
      <c r="D847" s="182"/>
      <c r="E847" s="182"/>
      <c r="F847" s="180">
        <v>3915.3</v>
      </c>
      <c r="G847" s="180">
        <v>3913.3</v>
      </c>
      <c r="H847" s="2">
        <f t="shared" si="171"/>
        <v>2482532.17</v>
      </c>
      <c r="I847" s="3">
        <v>2358532.17</v>
      </c>
      <c r="J847" s="3"/>
      <c r="K847" s="1"/>
      <c r="L847" s="3"/>
      <c r="M847" s="3"/>
      <c r="N847" s="3"/>
      <c r="O847" s="1">
        <v>124000</v>
      </c>
      <c r="P847" s="3"/>
      <c r="Q847" s="3">
        <f t="shared" si="173"/>
        <v>2482532.17</v>
      </c>
      <c r="R847" s="3"/>
      <c r="S847" s="1"/>
      <c r="T847" s="182">
        <v>2022</v>
      </c>
      <c r="U847" s="182">
        <v>2022</v>
      </c>
    </row>
    <row r="848" spans="1:21" ht="15.75">
      <c r="A848" s="182">
        <f t="shared" si="172"/>
        <v>142</v>
      </c>
      <c r="B848" s="186" t="s">
        <v>947</v>
      </c>
      <c r="C848" s="190">
        <v>1971</v>
      </c>
      <c r="D848" s="182"/>
      <c r="E848" s="182"/>
      <c r="F848" s="180">
        <v>7574.1</v>
      </c>
      <c r="G848" s="180">
        <v>7572.3</v>
      </c>
      <c r="H848" s="2">
        <f t="shared" si="171"/>
        <v>4965064.33</v>
      </c>
      <c r="I848" s="3">
        <v>4717064.33</v>
      </c>
      <c r="J848" s="3"/>
      <c r="K848" s="1"/>
      <c r="L848" s="3"/>
      <c r="M848" s="3"/>
      <c r="N848" s="3"/>
      <c r="O848" s="1">
        <v>248000</v>
      </c>
      <c r="P848" s="3"/>
      <c r="Q848" s="3">
        <f t="shared" si="173"/>
        <v>4965064.33</v>
      </c>
      <c r="R848" s="3"/>
      <c r="S848" s="1"/>
      <c r="T848" s="182">
        <v>2022</v>
      </c>
      <c r="U848" s="182">
        <v>2022</v>
      </c>
    </row>
    <row r="849" spans="1:21" ht="15.75">
      <c r="A849" s="182">
        <f t="shared" si="172"/>
        <v>143</v>
      </c>
      <c r="B849" s="186" t="s">
        <v>948</v>
      </c>
      <c r="C849" s="190">
        <v>1969</v>
      </c>
      <c r="D849" s="182"/>
      <c r="E849" s="182"/>
      <c r="F849" s="180">
        <v>3934.6</v>
      </c>
      <c r="G849" s="180">
        <v>3833.5</v>
      </c>
      <c r="H849" s="2">
        <f t="shared" si="171"/>
        <v>2482532.17</v>
      </c>
      <c r="I849" s="3">
        <v>2358532.17</v>
      </c>
      <c r="J849" s="3"/>
      <c r="K849" s="1"/>
      <c r="L849" s="3"/>
      <c r="M849" s="3"/>
      <c r="N849" s="3"/>
      <c r="O849" s="1">
        <v>124000</v>
      </c>
      <c r="P849" s="3"/>
      <c r="Q849" s="3">
        <f t="shared" si="173"/>
        <v>2482532.17</v>
      </c>
      <c r="R849" s="3"/>
      <c r="S849" s="1"/>
      <c r="T849" s="182">
        <v>2022</v>
      </c>
      <c r="U849" s="182">
        <v>2022</v>
      </c>
    </row>
    <row r="850" spans="1:21" ht="15.75">
      <c r="A850" s="182">
        <f t="shared" si="172"/>
        <v>144</v>
      </c>
      <c r="B850" s="186" t="s">
        <v>949</v>
      </c>
      <c r="C850" s="190">
        <v>1970</v>
      </c>
      <c r="D850" s="182"/>
      <c r="E850" s="182" t="s">
        <v>1066</v>
      </c>
      <c r="F850" s="180">
        <v>4588</v>
      </c>
      <c r="G850" s="180">
        <v>3848.4</v>
      </c>
      <c r="H850" s="2">
        <f t="shared" si="171"/>
        <v>2482532.17</v>
      </c>
      <c r="I850" s="3">
        <v>2358532.17</v>
      </c>
      <c r="J850" s="3"/>
      <c r="K850" s="1"/>
      <c r="L850" s="3"/>
      <c r="M850" s="3"/>
      <c r="N850" s="3"/>
      <c r="O850" s="1">
        <v>124000</v>
      </c>
      <c r="P850" s="3"/>
      <c r="Q850" s="3">
        <f t="shared" si="173"/>
        <v>2482532.17</v>
      </c>
      <c r="R850" s="3"/>
      <c r="S850" s="1"/>
      <c r="T850" s="182">
        <v>2022</v>
      </c>
      <c r="U850" s="182">
        <v>2022</v>
      </c>
    </row>
    <row r="851" spans="1:21" ht="15.75">
      <c r="A851" s="182">
        <f t="shared" si="172"/>
        <v>145</v>
      </c>
      <c r="B851" s="186" t="s">
        <v>950</v>
      </c>
      <c r="C851" s="190">
        <v>1970</v>
      </c>
      <c r="D851" s="182"/>
      <c r="E851" s="182"/>
      <c r="F851" s="180">
        <v>3984</v>
      </c>
      <c r="G851" s="180">
        <v>3502.6</v>
      </c>
      <c r="H851" s="2">
        <f t="shared" si="171"/>
        <v>2482532.17</v>
      </c>
      <c r="I851" s="3">
        <v>2358532.17</v>
      </c>
      <c r="J851" s="3"/>
      <c r="K851" s="1"/>
      <c r="L851" s="3"/>
      <c r="M851" s="3"/>
      <c r="N851" s="3"/>
      <c r="O851" s="1">
        <v>124000</v>
      </c>
      <c r="P851" s="3"/>
      <c r="Q851" s="3">
        <f t="shared" si="173"/>
        <v>2482532.17</v>
      </c>
      <c r="R851" s="3"/>
      <c r="S851" s="1"/>
      <c r="T851" s="182">
        <v>2022</v>
      </c>
      <c r="U851" s="182">
        <v>2022</v>
      </c>
    </row>
    <row r="852" spans="1:21" ht="15.75">
      <c r="A852" s="182">
        <f t="shared" si="172"/>
        <v>146</v>
      </c>
      <c r="B852" s="186" t="s">
        <v>951</v>
      </c>
      <c r="C852" s="190">
        <v>1971</v>
      </c>
      <c r="D852" s="182"/>
      <c r="E852" s="182"/>
      <c r="F852" s="180">
        <v>4403</v>
      </c>
      <c r="G852" s="180">
        <v>4404.5</v>
      </c>
      <c r="H852" s="2">
        <f t="shared" si="171"/>
        <v>2482532.17</v>
      </c>
      <c r="I852" s="3">
        <v>2358532.17</v>
      </c>
      <c r="J852" s="3"/>
      <c r="K852" s="1"/>
      <c r="L852" s="3"/>
      <c r="M852" s="3"/>
      <c r="N852" s="3"/>
      <c r="O852" s="1">
        <v>124000</v>
      </c>
      <c r="P852" s="3"/>
      <c r="Q852" s="3">
        <f t="shared" si="173"/>
        <v>2482532.17</v>
      </c>
      <c r="R852" s="3"/>
      <c r="S852" s="1"/>
      <c r="T852" s="182">
        <v>2022</v>
      </c>
      <c r="U852" s="182">
        <v>2022</v>
      </c>
    </row>
    <row r="853" spans="1:21" ht="15.75">
      <c r="A853" s="182">
        <f t="shared" si="172"/>
        <v>147</v>
      </c>
      <c r="B853" s="186" t="s">
        <v>952</v>
      </c>
      <c r="C853" s="190">
        <v>1970</v>
      </c>
      <c r="D853" s="182"/>
      <c r="E853" s="182"/>
      <c r="F853" s="180">
        <v>4553</v>
      </c>
      <c r="G853" s="180">
        <v>3903.2</v>
      </c>
      <c r="H853" s="2">
        <f t="shared" si="171"/>
        <v>2482532.17</v>
      </c>
      <c r="I853" s="3">
        <v>2358532.17</v>
      </c>
      <c r="J853" s="3"/>
      <c r="K853" s="1"/>
      <c r="L853" s="3"/>
      <c r="M853" s="3"/>
      <c r="N853" s="3"/>
      <c r="O853" s="1">
        <v>124000</v>
      </c>
      <c r="P853" s="3"/>
      <c r="Q853" s="3">
        <f t="shared" si="173"/>
        <v>2482532.17</v>
      </c>
      <c r="R853" s="3"/>
      <c r="S853" s="1"/>
      <c r="T853" s="182">
        <v>2022</v>
      </c>
      <c r="U853" s="182">
        <v>2022</v>
      </c>
    </row>
    <row r="854" spans="1:21" ht="15.75">
      <c r="A854" s="182">
        <f t="shared" si="172"/>
        <v>148</v>
      </c>
      <c r="B854" s="186" t="s">
        <v>953</v>
      </c>
      <c r="C854" s="190">
        <v>1969</v>
      </c>
      <c r="D854" s="182"/>
      <c r="E854" s="182"/>
      <c r="F854" s="180">
        <v>2629.1</v>
      </c>
      <c r="G854" s="180">
        <v>2622.3</v>
      </c>
      <c r="H854" s="2">
        <f t="shared" si="171"/>
        <v>2482532.17</v>
      </c>
      <c r="I854" s="3">
        <v>2358532.17</v>
      </c>
      <c r="J854" s="3"/>
      <c r="K854" s="1"/>
      <c r="L854" s="3"/>
      <c r="M854" s="3"/>
      <c r="N854" s="3"/>
      <c r="O854" s="1">
        <v>124000</v>
      </c>
      <c r="P854" s="3"/>
      <c r="Q854" s="3">
        <f t="shared" si="173"/>
        <v>2482532.17</v>
      </c>
      <c r="R854" s="3"/>
      <c r="S854" s="1"/>
      <c r="T854" s="182">
        <v>2022</v>
      </c>
      <c r="U854" s="182">
        <v>2022</v>
      </c>
    </row>
    <row r="855" spans="1:21" ht="15.75">
      <c r="A855" s="182">
        <f t="shared" si="172"/>
        <v>149</v>
      </c>
      <c r="B855" s="186" t="s">
        <v>954</v>
      </c>
      <c r="C855" s="190">
        <v>1969</v>
      </c>
      <c r="D855" s="182"/>
      <c r="E855" s="182"/>
      <c r="F855" s="180">
        <v>2657</v>
      </c>
      <c r="G855" s="180">
        <v>2627.1</v>
      </c>
      <c r="H855" s="2">
        <f t="shared" si="171"/>
        <v>2482532.17</v>
      </c>
      <c r="I855" s="3">
        <v>2358532.17</v>
      </c>
      <c r="J855" s="3"/>
      <c r="K855" s="1"/>
      <c r="L855" s="3"/>
      <c r="M855" s="3"/>
      <c r="N855" s="3"/>
      <c r="O855" s="1">
        <v>124000</v>
      </c>
      <c r="P855" s="3"/>
      <c r="Q855" s="3">
        <f t="shared" si="173"/>
        <v>2482532.17</v>
      </c>
      <c r="R855" s="3"/>
      <c r="S855" s="1"/>
      <c r="T855" s="182">
        <v>2022</v>
      </c>
      <c r="U855" s="182">
        <v>2022</v>
      </c>
    </row>
    <row r="856" spans="1:21" ht="15.75">
      <c r="A856" s="182">
        <f t="shared" si="172"/>
        <v>150</v>
      </c>
      <c r="B856" s="186" t="s">
        <v>955</v>
      </c>
      <c r="C856" s="190">
        <v>1970</v>
      </c>
      <c r="D856" s="182"/>
      <c r="E856" s="182"/>
      <c r="F856" s="180">
        <v>3850.4</v>
      </c>
      <c r="G856" s="180">
        <v>3866.6</v>
      </c>
      <c r="H856" s="2">
        <f t="shared" si="171"/>
        <v>2482532.17</v>
      </c>
      <c r="I856" s="3">
        <v>2358532.17</v>
      </c>
      <c r="J856" s="3"/>
      <c r="K856" s="1"/>
      <c r="L856" s="3"/>
      <c r="M856" s="3"/>
      <c r="N856" s="3"/>
      <c r="O856" s="1">
        <v>124000</v>
      </c>
      <c r="P856" s="3"/>
      <c r="Q856" s="3">
        <f t="shared" si="173"/>
        <v>2482532.17</v>
      </c>
      <c r="R856" s="3"/>
      <c r="S856" s="1"/>
      <c r="T856" s="182">
        <v>2022</v>
      </c>
      <c r="U856" s="182">
        <v>2022</v>
      </c>
    </row>
    <row r="857" spans="1:21" ht="15.75">
      <c r="A857" s="182">
        <f t="shared" si="172"/>
        <v>151</v>
      </c>
      <c r="B857" s="186" t="s">
        <v>956</v>
      </c>
      <c r="C857" s="190">
        <v>1970</v>
      </c>
      <c r="D857" s="182"/>
      <c r="E857" s="182"/>
      <c r="F857" s="180" t="s">
        <v>960</v>
      </c>
      <c r="G857" s="180">
        <v>3911.3</v>
      </c>
      <c r="H857" s="2">
        <f t="shared" si="171"/>
        <v>2482532.17</v>
      </c>
      <c r="I857" s="3">
        <v>2358532.17</v>
      </c>
      <c r="J857" s="3"/>
      <c r="K857" s="1"/>
      <c r="L857" s="3"/>
      <c r="M857" s="3"/>
      <c r="N857" s="3"/>
      <c r="O857" s="1">
        <v>124000</v>
      </c>
      <c r="P857" s="3"/>
      <c r="Q857" s="3">
        <f t="shared" si="173"/>
        <v>2482532.17</v>
      </c>
      <c r="R857" s="3"/>
      <c r="S857" s="1"/>
      <c r="T857" s="182">
        <v>2022</v>
      </c>
      <c r="U857" s="182">
        <v>2022</v>
      </c>
    </row>
    <row r="858" spans="1:21" ht="15.75">
      <c r="A858" s="182">
        <f t="shared" si="172"/>
        <v>152</v>
      </c>
      <c r="B858" s="186" t="s">
        <v>957</v>
      </c>
      <c r="C858" s="190" t="s">
        <v>917</v>
      </c>
      <c r="D858" s="182"/>
      <c r="E858" s="182"/>
      <c r="F858" s="180">
        <v>3852.4</v>
      </c>
      <c r="G858" s="180">
        <v>3852.2</v>
      </c>
      <c r="H858" s="2">
        <f t="shared" si="171"/>
        <v>2482532.17</v>
      </c>
      <c r="I858" s="3">
        <v>2358532.17</v>
      </c>
      <c r="J858" s="3"/>
      <c r="K858" s="1"/>
      <c r="L858" s="3"/>
      <c r="M858" s="3"/>
      <c r="N858" s="3"/>
      <c r="O858" s="1">
        <v>124000</v>
      </c>
      <c r="P858" s="3"/>
      <c r="Q858" s="3">
        <f t="shared" si="173"/>
        <v>2482532.17</v>
      </c>
      <c r="R858" s="3"/>
      <c r="S858" s="1"/>
      <c r="T858" s="182">
        <v>2022</v>
      </c>
      <c r="U858" s="182">
        <v>2022</v>
      </c>
    </row>
    <row r="859" spans="1:21" ht="15.75">
      <c r="A859" s="182">
        <f t="shared" si="172"/>
        <v>153</v>
      </c>
      <c r="B859" s="186" t="s">
        <v>958</v>
      </c>
      <c r="C859" s="190" t="s">
        <v>917</v>
      </c>
      <c r="D859" s="182"/>
      <c r="E859" s="182"/>
      <c r="F859" s="180">
        <v>7761.5</v>
      </c>
      <c r="G859" s="180">
        <v>7756.3</v>
      </c>
      <c r="H859" s="2">
        <f t="shared" si="171"/>
        <v>4965064.33</v>
      </c>
      <c r="I859" s="3">
        <v>4717064.33</v>
      </c>
      <c r="J859" s="3"/>
      <c r="K859" s="1"/>
      <c r="L859" s="3"/>
      <c r="M859" s="3"/>
      <c r="N859" s="3"/>
      <c r="O859" s="1">
        <v>248000</v>
      </c>
      <c r="P859" s="3"/>
      <c r="Q859" s="3">
        <f t="shared" si="173"/>
        <v>4965064.33</v>
      </c>
      <c r="R859" s="3"/>
      <c r="S859" s="1"/>
      <c r="T859" s="182">
        <v>2022</v>
      </c>
      <c r="U859" s="182">
        <v>2022</v>
      </c>
    </row>
    <row r="860" spans="1:21" ht="15.75">
      <c r="A860" s="182">
        <f t="shared" si="172"/>
        <v>154</v>
      </c>
      <c r="B860" s="186" t="s">
        <v>959</v>
      </c>
      <c r="C860" s="190" t="s">
        <v>917</v>
      </c>
      <c r="D860" s="182"/>
      <c r="E860" s="182"/>
      <c r="F860" s="180">
        <v>11288.3</v>
      </c>
      <c r="G860" s="180">
        <v>11185</v>
      </c>
      <c r="H860" s="2">
        <f t="shared" si="171"/>
        <v>7447596.4900000002</v>
      </c>
      <c r="I860" s="3">
        <v>7075596.4900000002</v>
      </c>
      <c r="J860" s="3"/>
      <c r="K860" s="1"/>
      <c r="L860" s="3"/>
      <c r="M860" s="3"/>
      <c r="N860" s="3"/>
      <c r="O860" s="1">
        <v>372000</v>
      </c>
      <c r="P860" s="3"/>
      <c r="Q860" s="3">
        <f t="shared" si="173"/>
        <v>7447596.4900000002</v>
      </c>
      <c r="R860" s="3"/>
      <c r="S860" s="1"/>
      <c r="T860" s="182">
        <v>2022</v>
      </c>
      <c r="U860" s="182">
        <v>2022</v>
      </c>
    </row>
    <row r="861" spans="1:21" ht="15.75">
      <c r="A861" s="182">
        <f t="shared" si="172"/>
        <v>155</v>
      </c>
      <c r="B861" s="186" t="s">
        <v>694</v>
      </c>
      <c r="C861" s="190">
        <v>1972</v>
      </c>
      <c r="D861" s="182"/>
      <c r="E861" s="182"/>
      <c r="F861" s="180">
        <v>6351.5</v>
      </c>
      <c r="G861" s="180">
        <v>5853.6</v>
      </c>
      <c r="H861" s="2">
        <f t="shared" si="171"/>
        <v>21639512.789999999</v>
      </c>
      <c r="I861" s="3">
        <v>0</v>
      </c>
      <c r="J861" s="3">
        <v>0</v>
      </c>
      <c r="K861" s="1">
        <f>ROUND(G861*3517.3*1.015,2)</f>
        <v>20897700.289999999</v>
      </c>
      <c r="L861" s="3">
        <v>0</v>
      </c>
      <c r="M861" s="3">
        <v>0</v>
      </c>
      <c r="N861" s="3">
        <v>0</v>
      </c>
      <c r="O861" s="1">
        <v>741812.5</v>
      </c>
      <c r="P861" s="3">
        <v>0</v>
      </c>
      <c r="Q861" s="3">
        <v>0</v>
      </c>
      <c r="R861" s="3">
        <v>0</v>
      </c>
      <c r="S861" s="1">
        <f>H861</f>
        <v>21639512.789999999</v>
      </c>
      <c r="T861" s="182">
        <v>2022</v>
      </c>
      <c r="U861" s="182">
        <v>2022</v>
      </c>
    </row>
    <row r="862" spans="1:21" ht="15.75">
      <c r="A862" s="182">
        <f t="shared" si="172"/>
        <v>156</v>
      </c>
      <c r="B862" s="186" t="s">
        <v>695</v>
      </c>
      <c r="C862" s="190">
        <v>1971</v>
      </c>
      <c r="D862" s="182"/>
      <c r="E862" s="182"/>
      <c r="F862" s="180">
        <v>2728.4</v>
      </c>
      <c r="G862" s="180">
        <v>2698.2</v>
      </c>
      <c r="H862" s="2">
        <f t="shared" si="171"/>
        <v>10303019.640000001</v>
      </c>
      <c r="I862" s="3">
        <v>0</v>
      </c>
      <c r="J862" s="3">
        <v>0</v>
      </c>
      <c r="K862" s="1">
        <f>ROUND(G862*3517.3*1.015,2)</f>
        <v>9632734.5399999991</v>
      </c>
      <c r="L862" s="3">
        <v>0</v>
      </c>
      <c r="M862" s="3">
        <v>0</v>
      </c>
      <c r="N862" s="3">
        <v>0</v>
      </c>
      <c r="O862" s="1">
        <v>670285.1</v>
      </c>
      <c r="P862" s="3">
        <v>0</v>
      </c>
      <c r="Q862" s="3">
        <v>0</v>
      </c>
      <c r="R862" s="3">
        <v>0</v>
      </c>
      <c r="S862" s="1">
        <f>H862</f>
        <v>10303019.640000001</v>
      </c>
      <c r="T862" s="182">
        <v>2022</v>
      </c>
      <c r="U862" s="182">
        <v>2022</v>
      </c>
    </row>
    <row r="863" spans="1:21" ht="15.75">
      <c r="A863" s="182">
        <f t="shared" si="172"/>
        <v>157</v>
      </c>
      <c r="B863" s="186" t="s">
        <v>1023</v>
      </c>
      <c r="C863" s="190">
        <v>1976</v>
      </c>
      <c r="D863" s="182"/>
      <c r="E863" s="182"/>
      <c r="F863" s="180">
        <v>4070.8</v>
      </c>
      <c r="G863" s="180">
        <v>4070.8</v>
      </c>
      <c r="H863" s="2">
        <f t="shared" si="171"/>
        <v>4434582.8600000003</v>
      </c>
      <c r="I863" s="3"/>
      <c r="J863" s="3">
        <v>4323718.29</v>
      </c>
      <c r="K863" s="1"/>
      <c r="L863" s="3"/>
      <c r="M863" s="3"/>
      <c r="N863" s="3"/>
      <c r="O863" s="1">
        <v>110864.57</v>
      </c>
      <c r="P863" s="3"/>
      <c r="Q863" s="3"/>
      <c r="R863" s="3"/>
      <c r="S863" s="1">
        <f>H863</f>
        <v>4434582.8600000003</v>
      </c>
      <c r="T863" s="182">
        <v>2022</v>
      </c>
      <c r="U863" s="182">
        <v>2022</v>
      </c>
    </row>
    <row r="864" spans="1:21" ht="15.75">
      <c r="A864" s="182">
        <f t="shared" si="172"/>
        <v>158</v>
      </c>
      <c r="B864" s="186" t="s">
        <v>1022</v>
      </c>
      <c r="C864" s="190">
        <v>1976</v>
      </c>
      <c r="D864" s="182"/>
      <c r="E864" s="182"/>
      <c r="F864" s="180">
        <v>6093.6</v>
      </c>
      <c r="G864" s="180">
        <v>6093.6</v>
      </c>
      <c r="H864" s="2">
        <f t="shared" si="171"/>
        <v>4434582.8600000003</v>
      </c>
      <c r="I864" s="3"/>
      <c r="J864" s="3">
        <v>4323718.29</v>
      </c>
      <c r="K864" s="1"/>
      <c r="L864" s="3"/>
      <c r="M864" s="3"/>
      <c r="N864" s="3"/>
      <c r="O864" s="1">
        <v>110864.57</v>
      </c>
      <c r="P864" s="3"/>
      <c r="Q864" s="3"/>
      <c r="R864" s="3"/>
      <c r="S864" s="1">
        <f>H864</f>
        <v>4434582.8600000003</v>
      </c>
      <c r="T864" s="182">
        <v>2022</v>
      </c>
      <c r="U864" s="182">
        <v>2022</v>
      </c>
    </row>
    <row r="865" spans="1:21" ht="15.75">
      <c r="A865" s="182">
        <f t="shared" si="172"/>
        <v>159</v>
      </c>
      <c r="B865" s="186" t="s">
        <v>961</v>
      </c>
      <c r="C865" s="190" t="s">
        <v>926</v>
      </c>
      <c r="D865" s="182"/>
      <c r="E865" s="182"/>
      <c r="F865" s="180">
        <v>6302.2</v>
      </c>
      <c r="G865" s="180">
        <v>5765.8</v>
      </c>
      <c r="H865" s="2">
        <f t="shared" si="171"/>
        <v>2480073.0499999998</v>
      </c>
      <c r="I865" s="3">
        <v>2356073.0499999998</v>
      </c>
      <c r="J865" s="3"/>
      <c r="K865" s="1"/>
      <c r="L865" s="3"/>
      <c r="M865" s="3"/>
      <c r="N865" s="3"/>
      <c r="O865" s="1">
        <v>124000</v>
      </c>
      <c r="P865" s="3"/>
      <c r="Q865" s="3">
        <f>H865</f>
        <v>2480073.0499999998</v>
      </c>
      <c r="R865" s="3"/>
      <c r="S865" s="1"/>
      <c r="T865" s="182">
        <v>2022</v>
      </c>
      <c r="U865" s="182">
        <v>2022</v>
      </c>
    </row>
    <row r="866" spans="1:21" ht="15.75">
      <c r="A866" s="182">
        <f t="shared" si="172"/>
        <v>160</v>
      </c>
      <c r="B866" s="186" t="s">
        <v>962</v>
      </c>
      <c r="C866" s="190">
        <v>1969</v>
      </c>
      <c r="D866" s="182"/>
      <c r="E866" s="182"/>
      <c r="F866" s="180">
        <v>4454.3999999999996</v>
      </c>
      <c r="G866" s="180">
        <v>4375.5</v>
      </c>
      <c r="H866" s="2">
        <f t="shared" si="171"/>
        <v>2480073.0499999998</v>
      </c>
      <c r="I866" s="3">
        <v>2356073.0499999998</v>
      </c>
      <c r="J866" s="3"/>
      <c r="K866" s="1"/>
      <c r="L866" s="3"/>
      <c r="M866" s="3"/>
      <c r="N866" s="3"/>
      <c r="O866" s="1">
        <v>124000</v>
      </c>
      <c r="P866" s="3"/>
      <c r="Q866" s="3">
        <f>H866</f>
        <v>2480073.0499999998</v>
      </c>
      <c r="R866" s="3"/>
      <c r="S866" s="1"/>
      <c r="T866" s="182">
        <v>2022</v>
      </c>
      <c r="U866" s="182">
        <v>2022</v>
      </c>
    </row>
    <row r="867" spans="1:21" ht="15.75">
      <c r="A867" s="182">
        <f t="shared" si="172"/>
        <v>161</v>
      </c>
      <c r="B867" s="186" t="s">
        <v>963</v>
      </c>
      <c r="C867" s="190">
        <v>1969</v>
      </c>
      <c r="D867" s="182"/>
      <c r="E867" s="182"/>
      <c r="F867" s="180">
        <v>4383.5</v>
      </c>
      <c r="G867" s="180">
        <v>4367.8</v>
      </c>
      <c r="H867" s="2">
        <f t="shared" si="171"/>
        <v>2480073.0499999998</v>
      </c>
      <c r="I867" s="3">
        <v>2356073.0499999998</v>
      </c>
      <c r="J867" s="3"/>
      <c r="K867" s="1"/>
      <c r="L867" s="3"/>
      <c r="M867" s="3"/>
      <c r="N867" s="3"/>
      <c r="O867" s="1">
        <v>124000</v>
      </c>
      <c r="P867" s="3"/>
      <c r="Q867" s="3">
        <f>H867</f>
        <v>2480073.0499999998</v>
      </c>
      <c r="R867" s="3"/>
      <c r="S867" s="1"/>
      <c r="T867" s="182">
        <v>2022</v>
      </c>
      <c r="U867" s="182">
        <v>2022</v>
      </c>
    </row>
    <row r="868" spans="1:21" ht="15.75">
      <c r="A868" s="182">
        <f t="shared" si="172"/>
        <v>162</v>
      </c>
      <c r="B868" s="186" t="s">
        <v>696</v>
      </c>
      <c r="C868" s="190">
        <v>1966</v>
      </c>
      <c r="D868" s="182"/>
      <c r="E868" s="182"/>
      <c r="F868" s="180">
        <v>6425.3</v>
      </c>
      <c r="G868" s="180">
        <v>5858.2</v>
      </c>
      <c r="H868" s="2">
        <f t="shared" si="171"/>
        <v>34112889.020000003</v>
      </c>
      <c r="I868" s="3">
        <f>ROUND((G868*(3349.66+650.2+643.1+644.55)+1197448.78)*1.015,2)</f>
        <v>32655330.960000001</v>
      </c>
      <c r="J868" s="3">
        <v>0</v>
      </c>
      <c r="K868" s="1">
        <v>0</v>
      </c>
      <c r="L868" s="3">
        <v>0</v>
      </c>
      <c r="M868" s="3">
        <v>0</v>
      </c>
      <c r="N868" s="3">
        <v>0</v>
      </c>
      <c r="O868" s="1">
        <v>1457558.06</v>
      </c>
      <c r="P868" s="3">
        <v>0</v>
      </c>
      <c r="Q868" s="3">
        <v>0</v>
      </c>
      <c r="R868" s="3">
        <v>0</v>
      </c>
      <c r="S868" s="1">
        <f>H868</f>
        <v>34112889.020000003</v>
      </c>
      <c r="T868" s="182">
        <v>2022</v>
      </c>
      <c r="U868" s="182">
        <v>2023</v>
      </c>
    </row>
    <row r="869" spans="1:21" ht="15.75">
      <c r="A869" s="197">
        <f t="shared" si="172"/>
        <v>163</v>
      </c>
      <c r="B869" s="186" t="s">
        <v>697</v>
      </c>
      <c r="C869" s="190">
        <v>1955</v>
      </c>
      <c r="D869" s="182"/>
      <c r="E869" s="182"/>
      <c r="F869" s="180">
        <v>5210.3999999999996</v>
      </c>
      <c r="G869" s="180">
        <v>5208.6000000000004</v>
      </c>
      <c r="H869" s="2">
        <f t="shared" si="171"/>
        <v>486639.82</v>
      </c>
      <c r="I869" s="198"/>
      <c r="J869" s="3">
        <v>0</v>
      </c>
      <c r="K869" s="1">
        <v>0</v>
      </c>
      <c r="L869" s="3">
        <v>0</v>
      </c>
      <c r="M869" s="3">
        <v>0</v>
      </c>
      <c r="N869" s="3">
        <v>0</v>
      </c>
      <c r="O869" s="1">
        <v>486639.82</v>
      </c>
      <c r="P869" s="3">
        <v>0</v>
      </c>
      <c r="Q869" s="3">
        <v>0</v>
      </c>
      <c r="R869" s="3">
        <v>0</v>
      </c>
      <c r="S869" s="1">
        <f>H869</f>
        <v>486639.82</v>
      </c>
      <c r="T869" s="182">
        <v>2021</v>
      </c>
      <c r="U869" s="182">
        <v>2023</v>
      </c>
    </row>
    <row r="870" spans="1:21" ht="15.75">
      <c r="A870" s="182">
        <f t="shared" si="172"/>
        <v>164</v>
      </c>
      <c r="B870" s="186" t="s">
        <v>1007</v>
      </c>
      <c r="C870" s="190">
        <v>1978</v>
      </c>
      <c r="D870" s="182"/>
      <c r="E870" s="182"/>
      <c r="F870" s="180">
        <v>12546.8</v>
      </c>
      <c r="G870" s="180">
        <v>10750.9</v>
      </c>
      <c r="H870" s="2">
        <f t="shared" si="171"/>
        <v>2695115.53</v>
      </c>
      <c r="I870" s="3">
        <v>2520910.34</v>
      </c>
      <c r="J870" s="3"/>
      <c r="K870" s="1"/>
      <c r="L870" s="3"/>
      <c r="M870" s="3"/>
      <c r="N870" s="3"/>
      <c r="O870" s="1">
        <v>174205.19</v>
      </c>
      <c r="P870" s="3"/>
      <c r="Q870" s="3">
        <f>O870+I870</f>
        <v>2695115.53</v>
      </c>
      <c r="R870" s="3"/>
      <c r="S870" s="1"/>
      <c r="T870" s="182">
        <v>2022</v>
      </c>
      <c r="U870" s="182">
        <v>2023</v>
      </c>
    </row>
    <row r="871" spans="1:21" ht="15.75">
      <c r="A871" s="182">
        <f t="shared" si="172"/>
        <v>165</v>
      </c>
      <c r="B871" s="186" t="s">
        <v>1024</v>
      </c>
      <c r="C871" s="190">
        <v>1978</v>
      </c>
      <c r="D871" s="182"/>
      <c r="E871" s="182"/>
      <c r="F871" s="180">
        <v>8434.5</v>
      </c>
      <c r="G871" s="180">
        <v>8434.5</v>
      </c>
      <c r="H871" s="2">
        <f t="shared" si="171"/>
        <v>6651874.29</v>
      </c>
      <c r="I871" s="3"/>
      <c r="J871" s="3">
        <v>6485577.4400000004</v>
      </c>
      <c r="K871" s="1"/>
      <c r="L871" s="3"/>
      <c r="M871" s="3"/>
      <c r="N871" s="3"/>
      <c r="O871" s="1">
        <v>166296.85</v>
      </c>
      <c r="P871" s="3"/>
      <c r="Q871" s="3"/>
      <c r="R871" s="3"/>
      <c r="S871" s="1">
        <f t="shared" ref="S871:S876" si="174">O871+J871</f>
        <v>6651874.29</v>
      </c>
      <c r="T871" s="182">
        <v>2022</v>
      </c>
      <c r="U871" s="182">
        <v>2023</v>
      </c>
    </row>
    <row r="872" spans="1:21" ht="15.75">
      <c r="A872" s="182">
        <f t="shared" si="172"/>
        <v>166</v>
      </c>
      <c r="B872" s="186" t="s">
        <v>1025</v>
      </c>
      <c r="C872" s="190">
        <v>1976</v>
      </c>
      <c r="D872" s="182"/>
      <c r="E872" s="182"/>
      <c r="F872" s="180">
        <v>9237.2999999999993</v>
      </c>
      <c r="G872" s="180">
        <v>9237.2999999999993</v>
      </c>
      <c r="H872" s="2">
        <f t="shared" si="171"/>
        <v>8869165.7300000004</v>
      </c>
      <c r="I872" s="3"/>
      <c r="J872" s="3">
        <v>8647436.5899999999</v>
      </c>
      <c r="K872" s="1"/>
      <c r="L872" s="3"/>
      <c r="M872" s="3"/>
      <c r="N872" s="3"/>
      <c r="O872" s="1">
        <v>221729.14</v>
      </c>
      <c r="P872" s="3"/>
      <c r="Q872" s="3"/>
      <c r="R872" s="3"/>
      <c r="S872" s="1">
        <f t="shared" si="174"/>
        <v>8869165.7300000004</v>
      </c>
      <c r="T872" s="182">
        <v>2022</v>
      </c>
      <c r="U872" s="182">
        <v>2022</v>
      </c>
    </row>
    <row r="873" spans="1:21" ht="15.75">
      <c r="A873" s="182">
        <f t="shared" si="172"/>
        <v>167</v>
      </c>
      <c r="B873" s="186" t="s">
        <v>1026</v>
      </c>
      <c r="C873" s="190">
        <v>1976</v>
      </c>
      <c r="D873" s="182"/>
      <c r="E873" s="182"/>
      <c r="F873" s="180">
        <v>9332.6</v>
      </c>
      <c r="G873" s="180">
        <v>9332.6</v>
      </c>
      <c r="H873" s="2">
        <f t="shared" si="171"/>
        <v>8869165.7300000004</v>
      </c>
      <c r="I873" s="3"/>
      <c r="J873" s="3">
        <v>8647436.5899999999</v>
      </c>
      <c r="K873" s="1"/>
      <c r="L873" s="3"/>
      <c r="M873" s="3"/>
      <c r="N873" s="3"/>
      <c r="O873" s="1">
        <v>221729.14</v>
      </c>
      <c r="P873" s="3"/>
      <c r="Q873" s="3"/>
      <c r="R873" s="3"/>
      <c r="S873" s="1">
        <f t="shared" si="174"/>
        <v>8869165.7300000004</v>
      </c>
      <c r="T873" s="182">
        <v>2022</v>
      </c>
      <c r="U873" s="182">
        <v>2022</v>
      </c>
    </row>
    <row r="874" spans="1:21" ht="15.75">
      <c r="A874" s="182">
        <f t="shared" si="172"/>
        <v>168</v>
      </c>
      <c r="B874" s="186" t="s">
        <v>1027</v>
      </c>
      <c r="C874" s="190">
        <v>1976</v>
      </c>
      <c r="D874" s="182"/>
      <c r="E874" s="182"/>
      <c r="F874" s="180">
        <v>4761.8</v>
      </c>
      <c r="G874" s="180">
        <v>4761.8</v>
      </c>
      <c r="H874" s="2">
        <f t="shared" si="171"/>
        <v>4434582.8600000003</v>
      </c>
      <c r="I874" s="3"/>
      <c r="J874" s="3">
        <v>4323718.29</v>
      </c>
      <c r="K874" s="1"/>
      <c r="L874" s="3"/>
      <c r="M874" s="3"/>
      <c r="N874" s="3"/>
      <c r="O874" s="1">
        <v>110864.57</v>
      </c>
      <c r="P874" s="3"/>
      <c r="Q874" s="3"/>
      <c r="R874" s="3"/>
      <c r="S874" s="1">
        <f t="shared" si="174"/>
        <v>4434582.8600000003</v>
      </c>
      <c r="T874" s="182">
        <v>2022</v>
      </c>
      <c r="U874" s="182">
        <v>2022</v>
      </c>
    </row>
    <row r="875" spans="1:21" ht="15.75">
      <c r="A875" s="182">
        <f t="shared" si="172"/>
        <v>169</v>
      </c>
      <c r="B875" s="186" t="s">
        <v>1028</v>
      </c>
      <c r="C875" s="190">
        <v>1976</v>
      </c>
      <c r="D875" s="182"/>
      <c r="E875" s="182"/>
      <c r="F875" s="180">
        <v>9298.4</v>
      </c>
      <c r="G875" s="180">
        <v>9298.4</v>
      </c>
      <c r="H875" s="2">
        <f t="shared" si="171"/>
        <v>8869165.7300000004</v>
      </c>
      <c r="I875" s="3"/>
      <c r="J875" s="3">
        <v>8647436.5899999999</v>
      </c>
      <c r="K875" s="1"/>
      <c r="L875" s="3"/>
      <c r="M875" s="3"/>
      <c r="N875" s="3"/>
      <c r="O875" s="1">
        <v>221729.14</v>
      </c>
      <c r="P875" s="3"/>
      <c r="Q875" s="3"/>
      <c r="R875" s="3"/>
      <c r="S875" s="1">
        <f t="shared" si="174"/>
        <v>8869165.7300000004</v>
      </c>
      <c r="T875" s="182">
        <v>2022</v>
      </c>
      <c r="U875" s="182">
        <v>2022</v>
      </c>
    </row>
    <row r="876" spans="1:21" ht="15.75">
      <c r="A876" s="182">
        <f t="shared" si="172"/>
        <v>170</v>
      </c>
      <c r="B876" s="186" t="s">
        <v>1029</v>
      </c>
      <c r="C876" s="190">
        <v>1978</v>
      </c>
      <c r="D876" s="182"/>
      <c r="E876" s="182"/>
      <c r="F876" s="180">
        <v>9148</v>
      </c>
      <c r="G876" s="180">
        <v>9148</v>
      </c>
      <c r="H876" s="2">
        <f t="shared" si="171"/>
        <v>6651874.29</v>
      </c>
      <c r="I876" s="3"/>
      <c r="J876" s="3">
        <v>6485577.4400000004</v>
      </c>
      <c r="K876" s="1"/>
      <c r="L876" s="3"/>
      <c r="M876" s="3"/>
      <c r="N876" s="3"/>
      <c r="O876" s="1">
        <v>166296.85</v>
      </c>
      <c r="P876" s="3"/>
      <c r="Q876" s="3"/>
      <c r="R876" s="3"/>
      <c r="S876" s="1">
        <f t="shared" si="174"/>
        <v>6651874.29</v>
      </c>
      <c r="T876" s="182">
        <v>2022</v>
      </c>
      <c r="U876" s="182">
        <v>2022</v>
      </c>
    </row>
    <row r="877" spans="1:21" ht="15.75">
      <c r="A877" s="182">
        <f t="shared" si="172"/>
        <v>171</v>
      </c>
      <c r="B877" s="186" t="s">
        <v>508</v>
      </c>
      <c r="C877" s="190">
        <v>1959</v>
      </c>
      <c r="D877" s="182"/>
      <c r="E877" s="182"/>
      <c r="F877" s="189">
        <v>5285.7</v>
      </c>
      <c r="G877" s="189">
        <v>4867.5</v>
      </c>
      <c r="H877" s="4">
        <f t="shared" si="171"/>
        <v>3849952.03</v>
      </c>
      <c r="I877" s="1">
        <f>ROUND(G877*616.25*1.015,2)</f>
        <v>3044590.83</v>
      </c>
      <c r="J877" s="1">
        <v>0</v>
      </c>
      <c r="K877" s="1">
        <v>0</v>
      </c>
      <c r="L877" s="1">
        <v>0</v>
      </c>
      <c r="M877" s="1">
        <v>0</v>
      </c>
      <c r="N877" s="1">
        <v>0</v>
      </c>
      <c r="O877" s="1">
        <v>805361.2</v>
      </c>
      <c r="P877" s="1">
        <v>0</v>
      </c>
      <c r="Q877" s="6">
        <f>H877</f>
        <v>3849952.03</v>
      </c>
      <c r="R877" s="1">
        <v>0</v>
      </c>
      <c r="S877" s="1">
        <v>0</v>
      </c>
      <c r="T877" s="197">
        <v>2021</v>
      </c>
      <c r="U877" s="197">
        <v>2022</v>
      </c>
    </row>
    <row r="878" spans="1:21" ht="15.75">
      <c r="A878" s="182">
        <f t="shared" si="172"/>
        <v>172</v>
      </c>
      <c r="B878" s="186" t="s">
        <v>698</v>
      </c>
      <c r="C878" s="190">
        <v>1949</v>
      </c>
      <c r="D878" s="182"/>
      <c r="E878" s="182"/>
      <c r="F878" s="180">
        <v>4378.6000000000004</v>
      </c>
      <c r="G878" s="180">
        <v>2960.3</v>
      </c>
      <c r="H878" s="2">
        <f t="shared" si="171"/>
        <v>11759286.5</v>
      </c>
      <c r="I878" s="3">
        <v>0</v>
      </c>
      <c r="J878" s="3">
        <v>0</v>
      </c>
      <c r="K878" s="1">
        <f>ROUND(3727.29*G878*1.015,2)</f>
        <v>11199405.039999999</v>
      </c>
      <c r="L878" s="3">
        <v>0</v>
      </c>
      <c r="M878" s="3">
        <v>0</v>
      </c>
      <c r="N878" s="3">
        <v>0</v>
      </c>
      <c r="O878" s="1">
        <v>559881.46</v>
      </c>
      <c r="P878" s="3">
        <v>0</v>
      </c>
      <c r="Q878" s="3">
        <v>0</v>
      </c>
      <c r="R878" s="3">
        <v>0</v>
      </c>
      <c r="S878" s="1">
        <f>H878</f>
        <v>11759286.5</v>
      </c>
      <c r="T878" s="182">
        <v>2020</v>
      </c>
      <c r="U878" s="182">
        <v>2022</v>
      </c>
    </row>
    <row r="879" spans="1:21" ht="15.75">
      <c r="A879" s="182">
        <f t="shared" si="172"/>
        <v>173</v>
      </c>
      <c r="B879" s="186" t="s">
        <v>1040</v>
      </c>
      <c r="C879" s="190">
        <v>1983</v>
      </c>
      <c r="D879" s="182"/>
      <c r="E879" s="182"/>
      <c r="F879" s="180">
        <v>1910</v>
      </c>
      <c r="G879" s="180">
        <v>1695.8</v>
      </c>
      <c r="H879" s="2">
        <f t="shared" si="171"/>
        <v>2669745.71</v>
      </c>
      <c r="I879" s="3"/>
      <c r="J879" s="3">
        <v>2497444.4500000002</v>
      </c>
      <c r="K879" s="1"/>
      <c r="L879" s="3"/>
      <c r="M879" s="3"/>
      <c r="N879" s="3"/>
      <c r="O879" s="1">
        <v>172301.26</v>
      </c>
      <c r="P879" s="3"/>
      <c r="Q879" s="3">
        <f>O879+J879</f>
        <v>2669745.71</v>
      </c>
      <c r="R879" s="3"/>
      <c r="S879" s="1"/>
      <c r="T879" s="182">
        <v>2022</v>
      </c>
      <c r="U879" s="182">
        <v>2023</v>
      </c>
    </row>
    <row r="880" spans="1:21" ht="15.75">
      <c r="A880" s="182">
        <f t="shared" si="172"/>
        <v>174</v>
      </c>
      <c r="B880" s="186" t="s">
        <v>699</v>
      </c>
      <c r="C880" s="190">
        <v>1960</v>
      </c>
      <c r="D880" s="182"/>
      <c r="E880" s="182"/>
      <c r="F880" s="180">
        <v>571.70000000000005</v>
      </c>
      <c r="G880" s="180">
        <v>525.6</v>
      </c>
      <c r="H880" s="2">
        <f t="shared" si="171"/>
        <v>4769255.41</v>
      </c>
      <c r="I880" s="3">
        <v>0</v>
      </c>
      <c r="J880" s="3">
        <v>0</v>
      </c>
      <c r="K880" s="1">
        <f>ROUND(8645.31*G880*1.015,2)</f>
        <v>4612134.5599999996</v>
      </c>
      <c r="L880" s="3">
        <v>0</v>
      </c>
      <c r="M880" s="3">
        <v>0</v>
      </c>
      <c r="N880" s="3">
        <v>0</v>
      </c>
      <c r="O880" s="1">
        <v>157120.85</v>
      </c>
      <c r="P880" s="3">
        <v>0</v>
      </c>
      <c r="Q880" s="3">
        <v>0</v>
      </c>
      <c r="R880" s="3">
        <v>0</v>
      </c>
      <c r="S880" s="1">
        <f>H880</f>
        <v>4769255.41</v>
      </c>
      <c r="T880" s="182">
        <v>2020</v>
      </c>
      <c r="U880" s="182">
        <v>2022</v>
      </c>
    </row>
    <row r="881" spans="1:21" ht="15.75">
      <c r="A881" s="182">
        <f t="shared" si="172"/>
        <v>175</v>
      </c>
      <c r="B881" s="186" t="s">
        <v>700</v>
      </c>
      <c r="C881" s="190">
        <v>1950</v>
      </c>
      <c r="D881" s="182" t="s">
        <v>230</v>
      </c>
      <c r="E881" s="182"/>
      <c r="F881" s="180">
        <v>2576</v>
      </c>
      <c r="G881" s="180">
        <v>2356</v>
      </c>
      <c r="H881" s="2">
        <f t="shared" si="171"/>
        <v>31544656.760000002</v>
      </c>
      <c r="I881" s="3">
        <f>ROUND(G881*(616.25+871.5+596.38+589.88+1074.75)*1.015,2)+0.01</f>
        <v>8964559.75</v>
      </c>
      <c r="J881" s="3">
        <v>0</v>
      </c>
      <c r="K881" s="1">
        <v>22022277.649999999</v>
      </c>
      <c r="L881" s="3">
        <v>0</v>
      </c>
      <c r="M881" s="3">
        <v>0</v>
      </c>
      <c r="N881" s="3">
        <v>0</v>
      </c>
      <c r="O881" s="1">
        <v>557819.36</v>
      </c>
      <c r="P881" s="3">
        <v>0</v>
      </c>
      <c r="Q881" s="3">
        <f>K881</f>
        <v>22022277.649999999</v>
      </c>
      <c r="R881" s="3">
        <v>0</v>
      </c>
      <c r="S881" s="1">
        <f>I881+O881</f>
        <v>9522379.1099999994</v>
      </c>
      <c r="T881" s="182">
        <v>2020</v>
      </c>
      <c r="U881" s="182" t="s">
        <v>1077</v>
      </c>
    </row>
    <row r="882" spans="1:21" ht="15.75">
      <c r="A882" s="182">
        <f t="shared" si="172"/>
        <v>176</v>
      </c>
      <c r="B882" s="186" t="s">
        <v>1008</v>
      </c>
      <c r="C882" s="190">
        <v>1938</v>
      </c>
      <c r="D882" s="182"/>
      <c r="E882" s="182"/>
      <c r="F882" s="180">
        <v>2236.3000000000002</v>
      </c>
      <c r="G882" s="180">
        <v>2229.6</v>
      </c>
      <c r="H882" s="2">
        <f t="shared" ref="H882:H934" si="175">I882+J882+K882+L882+M882+N882+O882</f>
        <v>1290310.93</v>
      </c>
      <c r="I882" s="3">
        <v>1206908.6299999999</v>
      </c>
      <c r="J882" s="3"/>
      <c r="K882" s="1"/>
      <c r="L882" s="3"/>
      <c r="M882" s="3"/>
      <c r="N882" s="3"/>
      <c r="O882" s="1">
        <v>83402.3</v>
      </c>
      <c r="P882" s="3"/>
      <c r="Q882" s="3">
        <f>O882+I882</f>
        <v>1290310.93</v>
      </c>
      <c r="R882" s="3"/>
      <c r="S882" s="1"/>
      <c r="T882" s="182">
        <v>2022</v>
      </c>
      <c r="U882" s="182">
        <v>2023</v>
      </c>
    </row>
    <row r="883" spans="1:21" ht="15.75">
      <c r="A883" s="182">
        <f t="shared" si="172"/>
        <v>177</v>
      </c>
      <c r="B883" s="186" t="s">
        <v>1009</v>
      </c>
      <c r="C883" s="190">
        <v>1935</v>
      </c>
      <c r="D883" s="182" t="s">
        <v>230</v>
      </c>
      <c r="E883" s="182"/>
      <c r="F883" s="180">
        <v>6125.2</v>
      </c>
      <c r="G883" s="180">
        <v>6125.2</v>
      </c>
      <c r="H883" s="2">
        <f t="shared" si="175"/>
        <v>5835769.5999999996</v>
      </c>
      <c r="I883" s="3"/>
      <c r="J883" s="3"/>
      <c r="K883" s="1"/>
      <c r="L883" s="3"/>
      <c r="M883" s="3"/>
      <c r="N883" s="3"/>
      <c r="O883" s="1">
        <v>5835769.5999999996</v>
      </c>
      <c r="P883" s="3"/>
      <c r="Q883" s="3">
        <f>O883+M883+K883</f>
        <v>5835769.5999999996</v>
      </c>
      <c r="R883" s="3"/>
      <c r="S883" s="1"/>
      <c r="T883" s="182">
        <v>2022</v>
      </c>
      <c r="U883" s="182">
        <v>2023</v>
      </c>
    </row>
    <row r="884" spans="1:21" ht="15.75">
      <c r="A884" s="182">
        <f t="shared" si="172"/>
        <v>178</v>
      </c>
      <c r="B884" s="186" t="s">
        <v>1073</v>
      </c>
      <c r="C884" s="190">
        <v>1953</v>
      </c>
      <c r="D884" s="182"/>
      <c r="E884" s="182"/>
      <c r="F884" s="180">
        <v>10317.799999999999</v>
      </c>
      <c r="G884" s="180">
        <v>8324.5</v>
      </c>
      <c r="H884" s="2">
        <f t="shared" si="175"/>
        <v>2254943.0499999998</v>
      </c>
      <c r="I884" s="3"/>
      <c r="J884" s="3"/>
      <c r="K884" s="1">
        <v>2254943.0499999998</v>
      </c>
      <c r="L884" s="3"/>
      <c r="M884" s="3"/>
      <c r="N884" s="3"/>
      <c r="O884" s="1"/>
      <c r="P884" s="3"/>
      <c r="Q884" s="3">
        <f>H884</f>
        <v>2254943.0499999998</v>
      </c>
      <c r="R884" s="3"/>
      <c r="S884" s="1"/>
      <c r="T884" s="182">
        <v>2022</v>
      </c>
      <c r="U884" s="182">
        <v>2023</v>
      </c>
    </row>
    <row r="885" spans="1:21" ht="15.75">
      <c r="A885" s="182">
        <f t="shared" ref="A885:A935" si="176">A884+1</f>
        <v>179</v>
      </c>
      <c r="B885" s="186" t="s">
        <v>1072</v>
      </c>
      <c r="C885" s="190">
        <v>1962</v>
      </c>
      <c r="D885" s="182"/>
      <c r="E885" s="182"/>
      <c r="F885" s="180">
        <v>3028.2</v>
      </c>
      <c r="G885" s="180">
        <v>2438.6</v>
      </c>
      <c r="H885" s="2">
        <f t="shared" si="175"/>
        <v>1208229.3</v>
      </c>
      <c r="I885" s="3"/>
      <c r="J885" s="3"/>
      <c r="K885" s="1">
        <v>1208229.3</v>
      </c>
      <c r="L885" s="3"/>
      <c r="M885" s="3"/>
      <c r="N885" s="3"/>
      <c r="O885" s="1"/>
      <c r="P885" s="3"/>
      <c r="Q885" s="3">
        <f>H885</f>
        <v>1208229.3</v>
      </c>
      <c r="R885" s="3"/>
      <c r="S885" s="1"/>
      <c r="T885" s="182">
        <v>2022</v>
      </c>
      <c r="U885" s="182">
        <v>2023</v>
      </c>
    </row>
    <row r="886" spans="1:21" ht="15.75">
      <c r="A886" s="182">
        <f t="shared" si="176"/>
        <v>180</v>
      </c>
      <c r="B886" s="186" t="s">
        <v>964</v>
      </c>
      <c r="C886" s="190">
        <v>1997</v>
      </c>
      <c r="D886" s="182"/>
      <c r="E886" s="182"/>
      <c r="F886" s="180">
        <v>8087.1</v>
      </c>
      <c r="G886" s="180">
        <v>8087.1</v>
      </c>
      <c r="H886" s="2">
        <f t="shared" si="175"/>
        <v>4959794.79</v>
      </c>
      <c r="I886" s="3">
        <v>4711794.79</v>
      </c>
      <c r="J886" s="3"/>
      <c r="K886" s="1"/>
      <c r="L886" s="3"/>
      <c r="M886" s="3"/>
      <c r="N886" s="3"/>
      <c r="O886" s="1">
        <v>248000</v>
      </c>
      <c r="P886" s="3"/>
      <c r="Q886" s="3">
        <f>H886</f>
        <v>4959794.79</v>
      </c>
      <c r="R886" s="3"/>
      <c r="S886" s="1"/>
      <c r="T886" s="182">
        <v>2022</v>
      </c>
      <c r="U886" s="182">
        <v>2022</v>
      </c>
    </row>
    <row r="887" spans="1:21" ht="15.75">
      <c r="A887" s="182">
        <f t="shared" si="176"/>
        <v>181</v>
      </c>
      <c r="B887" s="186" t="s">
        <v>965</v>
      </c>
      <c r="C887" s="190">
        <v>1994</v>
      </c>
      <c r="D887" s="182"/>
      <c r="E887" s="182"/>
      <c r="F887" s="180">
        <v>2475.1999999999998</v>
      </c>
      <c r="G887" s="180">
        <v>2457.9</v>
      </c>
      <c r="H887" s="2">
        <f t="shared" si="175"/>
        <v>2501151.2400000002</v>
      </c>
      <c r="I887" s="3">
        <v>2377151.2400000002</v>
      </c>
      <c r="J887" s="3"/>
      <c r="K887" s="1"/>
      <c r="L887" s="3"/>
      <c r="M887" s="3"/>
      <c r="N887" s="3"/>
      <c r="O887" s="1">
        <v>124000</v>
      </c>
      <c r="P887" s="3"/>
      <c r="Q887" s="3">
        <f>H887</f>
        <v>2501151.2400000002</v>
      </c>
      <c r="R887" s="3"/>
      <c r="S887" s="1"/>
      <c r="T887" s="182">
        <v>2022</v>
      </c>
      <c r="U887" s="182">
        <v>2022</v>
      </c>
    </row>
    <row r="888" spans="1:21" ht="15.75">
      <c r="A888" s="182">
        <f t="shared" si="176"/>
        <v>182</v>
      </c>
      <c r="B888" s="186" t="s">
        <v>966</v>
      </c>
      <c r="C888" s="190">
        <v>1995</v>
      </c>
      <c r="D888" s="182"/>
      <c r="E888" s="182"/>
      <c r="F888" s="180">
        <v>2620.1999999999998</v>
      </c>
      <c r="G888" s="180">
        <v>2586</v>
      </c>
      <c r="H888" s="2">
        <f t="shared" si="175"/>
        <v>2479897.41</v>
      </c>
      <c r="I888" s="3">
        <v>2355897.41</v>
      </c>
      <c r="J888" s="3"/>
      <c r="K888" s="1"/>
      <c r="L888" s="3"/>
      <c r="M888" s="3"/>
      <c r="N888" s="3"/>
      <c r="O888" s="1">
        <v>124000</v>
      </c>
      <c r="P888" s="3"/>
      <c r="Q888" s="3">
        <f>H888</f>
        <v>2479897.41</v>
      </c>
      <c r="R888" s="3"/>
      <c r="S888" s="1"/>
      <c r="T888" s="182">
        <v>2022</v>
      </c>
      <c r="U888" s="182">
        <v>2022</v>
      </c>
    </row>
    <row r="889" spans="1:21" ht="15.75">
      <c r="A889" s="182">
        <f t="shared" si="176"/>
        <v>183</v>
      </c>
      <c r="B889" s="186" t="s">
        <v>1068</v>
      </c>
      <c r="C889" s="190">
        <v>1974</v>
      </c>
      <c r="D889" s="182"/>
      <c r="E889" s="182"/>
      <c r="F889" s="180">
        <v>3884.9</v>
      </c>
      <c r="G889" s="180">
        <v>3884.9</v>
      </c>
      <c r="H889" s="2">
        <f t="shared" si="175"/>
        <v>4434582.8600000003</v>
      </c>
      <c r="I889" s="3"/>
      <c r="J889" s="3">
        <v>4323718.29</v>
      </c>
      <c r="K889" s="1"/>
      <c r="L889" s="3"/>
      <c r="M889" s="3"/>
      <c r="N889" s="3"/>
      <c r="O889" s="1">
        <v>110864.57</v>
      </c>
      <c r="P889" s="3"/>
      <c r="Q889" s="3"/>
      <c r="R889" s="3"/>
      <c r="S889" s="1">
        <f>O889+J889</f>
        <v>4434582.8600000003</v>
      </c>
      <c r="T889" s="182">
        <v>2022</v>
      </c>
      <c r="U889" s="182">
        <v>2022</v>
      </c>
    </row>
    <row r="890" spans="1:21" ht="15.75">
      <c r="A890" s="182">
        <f t="shared" si="176"/>
        <v>184</v>
      </c>
      <c r="B890" s="186" t="s">
        <v>1052</v>
      </c>
      <c r="C890" s="190">
        <v>1974</v>
      </c>
      <c r="D890" s="182"/>
      <c r="E890" s="182"/>
      <c r="F890" s="180">
        <v>3828.6</v>
      </c>
      <c r="G890" s="180">
        <v>3828.6</v>
      </c>
      <c r="H890" s="2">
        <f t="shared" si="175"/>
        <v>4434582.8600000003</v>
      </c>
      <c r="I890" s="3"/>
      <c r="J890" s="3">
        <v>4323718.29</v>
      </c>
      <c r="K890" s="1"/>
      <c r="L890" s="3"/>
      <c r="M890" s="3"/>
      <c r="N890" s="3"/>
      <c r="O890" s="1">
        <v>110864.57</v>
      </c>
      <c r="P890" s="3"/>
      <c r="Q890" s="3"/>
      <c r="R890" s="3"/>
      <c r="S890" s="1">
        <f>O890+J890</f>
        <v>4434582.8600000003</v>
      </c>
      <c r="T890" s="182">
        <v>2022</v>
      </c>
      <c r="U890" s="182">
        <v>2022</v>
      </c>
    </row>
    <row r="891" spans="1:21" ht="15.75">
      <c r="A891" s="182">
        <f t="shared" si="176"/>
        <v>185</v>
      </c>
      <c r="B891" s="186" t="s">
        <v>197</v>
      </c>
      <c r="C891" s="190">
        <v>1953</v>
      </c>
      <c r="D891" s="182"/>
      <c r="E891" s="182"/>
      <c r="F891" s="180">
        <v>2229.3000000000002</v>
      </c>
      <c r="G891" s="180">
        <v>1959.3</v>
      </c>
      <c r="H891" s="2">
        <f t="shared" si="175"/>
        <v>4797243.63</v>
      </c>
      <c r="I891" s="3">
        <f>1183560.81+1170661.08+2132921.96</f>
        <v>4487143.8499999996</v>
      </c>
      <c r="J891" s="3"/>
      <c r="K891" s="1"/>
      <c r="L891" s="3"/>
      <c r="M891" s="3"/>
      <c r="N891" s="3"/>
      <c r="O891" s="1">
        <v>310099.78000000003</v>
      </c>
      <c r="P891" s="3"/>
      <c r="Q891" s="3">
        <f>O891+I891</f>
        <v>4797243.63</v>
      </c>
      <c r="R891" s="3"/>
      <c r="S891" s="1"/>
      <c r="T891" s="182">
        <v>2022</v>
      </c>
      <c r="U891" s="182">
        <v>2023</v>
      </c>
    </row>
    <row r="892" spans="1:21" ht="15.75">
      <c r="A892" s="182">
        <f t="shared" si="176"/>
        <v>186</v>
      </c>
      <c r="B892" s="186" t="s">
        <v>701</v>
      </c>
      <c r="C892" s="190">
        <v>1954</v>
      </c>
      <c r="D892" s="182"/>
      <c r="E892" s="182"/>
      <c r="F892" s="180">
        <v>3563.5</v>
      </c>
      <c r="G892" s="180">
        <v>2284.9</v>
      </c>
      <c r="H892" s="2">
        <f t="shared" si="175"/>
        <v>9150439.1799999997</v>
      </c>
      <c r="I892" s="3">
        <v>0</v>
      </c>
      <c r="J892" s="3">
        <v>0</v>
      </c>
      <c r="K892" s="1">
        <f>ROUND(3727.29*G892*1.015,2)</f>
        <v>8644232.1899999995</v>
      </c>
      <c r="L892" s="3">
        <v>0</v>
      </c>
      <c r="M892" s="3">
        <v>0</v>
      </c>
      <c r="N892" s="3">
        <v>0</v>
      </c>
      <c r="O892" s="1">
        <v>506206.99</v>
      </c>
      <c r="P892" s="3">
        <v>0</v>
      </c>
      <c r="Q892" s="3">
        <v>0</v>
      </c>
      <c r="R892" s="3">
        <v>0</v>
      </c>
      <c r="S892" s="1">
        <f>H892</f>
        <v>9150439.1799999997</v>
      </c>
      <c r="T892" s="182">
        <v>2020</v>
      </c>
      <c r="U892" s="182">
        <v>2022</v>
      </c>
    </row>
    <row r="893" spans="1:21" ht="15.75">
      <c r="A893" s="182">
        <f t="shared" si="176"/>
        <v>187</v>
      </c>
      <c r="B893" s="186" t="s">
        <v>702</v>
      </c>
      <c r="C893" s="190">
        <v>1949</v>
      </c>
      <c r="D893" s="182"/>
      <c r="E893" s="182"/>
      <c r="F893" s="180">
        <v>1021.7</v>
      </c>
      <c r="G893" s="180">
        <v>930.4</v>
      </c>
      <c r="H893" s="2">
        <f t="shared" si="175"/>
        <v>10119862.560000001</v>
      </c>
      <c r="I893" s="3">
        <v>581959.39</v>
      </c>
      <c r="J893" s="3">
        <v>0</v>
      </c>
      <c r="K893" s="1">
        <f>ROUND(G893*8645.31*1.015,2)</f>
        <v>8164250.3700000001</v>
      </c>
      <c r="L893" s="3">
        <v>0</v>
      </c>
      <c r="M893" s="3">
        <v>0</v>
      </c>
      <c r="N893" s="3">
        <v>0</v>
      </c>
      <c r="O893" s="1">
        <f>552877.21+820775.59</f>
        <v>1373652.8</v>
      </c>
      <c r="P893" s="3">
        <v>0</v>
      </c>
      <c r="Q893" s="3">
        <v>0</v>
      </c>
      <c r="R893" s="3">
        <v>0</v>
      </c>
      <c r="S893" s="1">
        <f>H893</f>
        <v>10119862.560000001</v>
      </c>
      <c r="T893" s="182">
        <v>2022</v>
      </c>
      <c r="U893" s="182">
        <v>2022</v>
      </c>
    </row>
    <row r="894" spans="1:21" ht="15.75">
      <c r="A894" s="197">
        <f t="shared" si="176"/>
        <v>188</v>
      </c>
      <c r="B894" s="186" t="s">
        <v>703</v>
      </c>
      <c r="C894" s="190">
        <v>1957</v>
      </c>
      <c r="D894" s="182"/>
      <c r="E894" s="182"/>
      <c r="F894" s="180">
        <v>2566.1999999999998</v>
      </c>
      <c r="G894" s="180">
        <v>1741.8</v>
      </c>
      <c r="H894" s="2">
        <f t="shared" si="175"/>
        <v>7573223.9199999999</v>
      </c>
      <c r="I894" s="3">
        <v>0</v>
      </c>
      <c r="J894" s="3">
        <v>0</v>
      </c>
      <c r="K894" s="1">
        <f>ROUND(4075.29*G894*1.015,2)</f>
        <v>7204815.2199999997</v>
      </c>
      <c r="L894" s="3">
        <v>0</v>
      </c>
      <c r="M894" s="3">
        <v>0</v>
      </c>
      <c r="N894" s="3">
        <v>0</v>
      </c>
      <c r="O894" s="1">
        <v>368408.7</v>
      </c>
      <c r="P894" s="3">
        <v>0</v>
      </c>
      <c r="Q894" s="3">
        <v>0</v>
      </c>
      <c r="R894" s="3">
        <v>0</v>
      </c>
      <c r="S894" s="1">
        <f>H894</f>
        <v>7573223.9199999999</v>
      </c>
      <c r="T894" s="182">
        <v>2020</v>
      </c>
      <c r="U894" s="182">
        <v>2022</v>
      </c>
    </row>
    <row r="895" spans="1:21" ht="15.75">
      <c r="A895" s="197">
        <f t="shared" si="176"/>
        <v>189</v>
      </c>
      <c r="B895" s="186" t="s">
        <v>463</v>
      </c>
      <c r="C895" s="190">
        <v>1958</v>
      </c>
      <c r="D895" s="182"/>
      <c r="E895" s="182"/>
      <c r="F895" s="180">
        <v>615.70000000000005</v>
      </c>
      <c r="G895" s="180">
        <v>615.70000000000005</v>
      </c>
      <c r="H895" s="2">
        <f t="shared" si="175"/>
        <v>3939961.43</v>
      </c>
      <c r="I895" s="3">
        <f>ROUND(401925.83*1.015,2)</f>
        <v>407954.72</v>
      </c>
      <c r="J895" s="3">
        <v>0</v>
      </c>
      <c r="K895" s="1">
        <f>ROUND(G895*5222.75*1.015,2)</f>
        <v>3263881.88</v>
      </c>
      <c r="L895" s="3">
        <v>0</v>
      </c>
      <c r="M895" s="3">
        <v>0</v>
      </c>
      <c r="N895" s="3">
        <v>0</v>
      </c>
      <c r="O895" s="1">
        <f>192938.83+75186.0022822366</f>
        <v>268124.83</v>
      </c>
      <c r="P895" s="3">
        <v>0</v>
      </c>
      <c r="Q895" s="3">
        <v>483140.72</v>
      </c>
      <c r="R895" s="3">
        <v>0</v>
      </c>
      <c r="S895" s="1">
        <f>H895-Q895</f>
        <v>3456820.71</v>
      </c>
      <c r="T895" s="182">
        <v>2020</v>
      </c>
      <c r="U895" s="182">
        <v>2022</v>
      </c>
    </row>
    <row r="896" spans="1:21" ht="15.75">
      <c r="A896" s="182">
        <f t="shared" si="176"/>
        <v>190</v>
      </c>
      <c r="B896" s="186" t="s">
        <v>704</v>
      </c>
      <c r="C896" s="190">
        <v>1962</v>
      </c>
      <c r="D896" s="182"/>
      <c r="E896" s="182"/>
      <c r="F896" s="180">
        <v>4118.5</v>
      </c>
      <c r="G896" s="180">
        <v>2559.9</v>
      </c>
      <c r="H896" s="2">
        <f t="shared" si="175"/>
        <v>10188143.460000001</v>
      </c>
      <c r="I896" s="3">
        <v>0</v>
      </c>
      <c r="J896" s="3">
        <v>0</v>
      </c>
      <c r="K896" s="1">
        <f>ROUND(3727.29*G896*1.015,2)</f>
        <v>9684612.0199999996</v>
      </c>
      <c r="L896" s="3">
        <v>0</v>
      </c>
      <c r="M896" s="3">
        <v>0</v>
      </c>
      <c r="N896" s="3">
        <v>0</v>
      </c>
      <c r="O896" s="1">
        <v>503531.44</v>
      </c>
      <c r="P896" s="3">
        <v>0</v>
      </c>
      <c r="Q896" s="3">
        <v>0</v>
      </c>
      <c r="R896" s="3">
        <v>0</v>
      </c>
      <c r="S896" s="1">
        <f>H896</f>
        <v>10188143.460000001</v>
      </c>
      <c r="T896" s="182">
        <v>2020</v>
      </c>
      <c r="U896" s="182">
        <v>2022</v>
      </c>
    </row>
    <row r="897" spans="1:21" ht="15.75">
      <c r="A897" s="182">
        <f t="shared" si="176"/>
        <v>191</v>
      </c>
      <c r="B897" s="186" t="s">
        <v>705</v>
      </c>
      <c r="C897" s="190">
        <v>1972</v>
      </c>
      <c r="D897" s="182"/>
      <c r="E897" s="182"/>
      <c r="F897" s="180">
        <v>5181.1000000000004</v>
      </c>
      <c r="G897" s="180">
        <v>4708.2</v>
      </c>
      <c r="H897" s="2">
        <f t="shared" si="175"/>
        <v>24861930.34</v>
      </c>
      <c r="I897" s="3">
        <v>0</v>
      </c>
      <c r="J897" s="3">
        <v>0</v>
      </c>
      <c r="K897" s="1">
        <v>0</v>
      </c>
      <c r="L897" s="3">
        <f>ROUND(763.97*G897*1.015,2)</f>
        <v>3650877.41</v>
      </c>
      <c r="M897" s="3">
        <f>ROUND(3170.13*G897*1.015,2)</f>
        <v>15149490.16</v>
      </c>
      <c r="N897" s="3">
        <f>ROUND(1135.41*G897*1.015,2)</f>
        <v>5425923.4199999999</v>
      </c>
      <c r="O897" s="1">
        <v>635639.35</v>
      </c>
      <c r="P897" s="3">
        <v>0</v>
      </c>
      <c r="Q897" s="3">
        <v>0</v>
      </c>
      <c r="R897" s="3">
        <v>0</v>
      </c>
      <c r="S897" s="1">
        <f>H897</f>
        <v>24861930.34</v>
      </c>
      <c r="T897" s="182">
        <v>2020</v>
      </c>
      <c r="U897" s="182">
        <v>2022</v>
      </c>
    </row>
    <row r="898" spans="1:21" ht="15.75">
      <c r="A898" s="182">
        <f t="shared" si="176"/>
        <v>192</v>
      </c>
      <c r="B898" s="186" t="s">
        <v>706</v>
      </c>
      <c r="C898" s="190">
        <v>1971</v>
      </c>
      <c r="D898" s="182"/>
      <c r="E898" s="182"/>
      <c r="F898" s="180">
        <v>7077.6</v>
      </c>
      <c r="G898" s="180">
        <v>6452.9</v>
      </c>
      <c r="H898" s="2">
        <f t="shared" si="175"/>
        <v>58303848.399999999</v>
      </c>
      <c r="I898" s="3">
        <v>0</v>
      </c>
      <c r="J898" s="3">
        <v>0</v>
      </c>
      <c r="K898" s="1">
        <f>ROUND(G898*3517.3*1.015,2)</f>
        <v>23037236.949999999</v>
      </c>
      <c r="L898" s="3">
        <f>ROUND(G898*763.97*1.015,2)</f>
        <v>5003769.34</v>
      </c>
      <c r="M898" s="3">
        <f>ROUND(G898*3170.13*1.015,2)</f>
        <v>20763379.859999999</v>
      </c>
      <c r="N898" s="3">
        <f>ROUND(G898*1135.41*1.015,2)</f>
        <v>7436587.5</v>
      </c>
      <c r="O898" s="1">
        <f>1361807.11+105650.18+438400.47+157016.99</f>
        <v>2062874.75</v>
      </c>
      <c r="P898" s="3">
        <v>0</v>
      </c>
      <c r="Q898" s="3">
        <v>0</v>
      </c>
      <c r="R898" s="3">
        <v>0</v>
      </c>
      <c r="S898" s="1">
        <f>H898</f>
        <v>58303848.399999999</v>
      </c>
      <c r="T898" s="182">
        <v>2020</v>
      </c>
      <c r="U898" s="182">
        <v>2022</v>
      </c>
    </row>
    <row r="899" spans="1:21" ht="15.75">
      <c r="A899" s="182">
        <f t="shared" si="176"/>
        <v>193</v>
      </c>
      <c r="B899" s="186" t="s">
        <v>967</v>
      </c>
      <c r="C899" s="190">
        <v>1963</v>
      </c>
      <c r="D899" s="182"/>
      <c r="E899" s="182"/>
      <c r="F899" s="180">
        <v>2786</v>
      </c>
      <c r="G899" s="180">
        <v>2589.5</v>
      </c>
      <c r="H899" s="2">
        <f t="shared" si="175"/>
        <v>2482532.17</v>
      </c>
      <c r="I899" s="3">
        <v>2358532.17</v>
      </c>
      <c r="J899" s="3"/>
      <c r="K899" s="1"/>
      <c r="L899" s="3"/>
      <c r="M899" s="3"/>
      <c r="N899" s="3"/>
      <c r="O899" s="1">
        <v>124000</v>
      </c>
      <c r="P899" s="3"/>
      <c r="Q899" s="3">
        <f>H899</f>
        <v>2482532.17</v>
      </c>
      <c r="R899" s="3"/>
      <c r="S899" s="1"/>
      <c r="T899" s="182">
        <v>2022</v>
      </c>
      <c r="U899" s="182">
        <v>2022</v>
      </c>
    </row>
    <row r="900" spans="1:21" ht="15.75">
      <c r="A900" s="182">
        <f t="shared" si="176"/>
        <v>194</v>
      </c>
      <c r="B900" s="186" t="s">
        <v>707</v>
      </c>
      <c r="C900" s="190">
        <v>1937</v>
      </c>
      <c r="D900" s="182"/>
      <c r="E900" s="182"/>
      <c r="F900" s="180">
        <v>2329</v>
      </c>
      <c r="G900" s="180">
        <v>2249.3000000000002</v>
      </c>
      <c r="H900" s="2">
        <f t="shared" si="175"/>
        <v>13971707.48</v>
      </c>
      <c r="I900" s="3">
        <v>0</v>
      </c>
      <c r="J900" s="3">
        <v>0</v>
      </c>
      <c r="K900" s="1">
        <f>ROUND(5975.33*G900*1.015,2)</f>
        <v>13641914.42</v>
      </c>
      <c r="L900" s="3">
        <v>0</v>
      </c>
      <c r="M900" s="3">
        <v>0</v>
      </c>
      <c r="N900" s="3">
        <v>0</v>
      </c>
      <c r="O900" s="1">
        <v>329793.06</v>
      </c>
      <c r="P900" s="3">
        <v>0</v>
      </c>
      <c r="Q900" s="3">
        <v>0</v>
      </c>
      <c r="R900" s="3">
        <v>0</v>
      </c>
      <c r="S900" s="1">
        <f>H900</f>
        <v>13971707.48</v>
      </c>
      <c r="T900" s="182">
        <v>2020</v>
      </c>
      <c r="U900" s="182">
        <v>2022</v>
      </c>
    </row>
    <row r="901" spans="1:21" ht="15.75">
      <c r="A901" s="182">
        <f t="shared" si="176"/>
        <v>195</v>
      </c>
      <c r="B901" s="186" t="s">
        <v>1070</v>
      </c>
      <c r="C901" s="190">
        <v>1963</v>
      </c>
      <c r="D901" s="182"/>
      <c r="E901" s="182"/>
      <c r="F901" s="180">
        <v>3801.1</v>
      </c>
      <c r="G901" s="180">
        <v>3562.2</v>
      </c>
      <c r="H901" s="2">
        <f t="shared" si="175"/>
        <v>12392718.630000001</v>
      </c>
      <c r="I901" s="3"/>
      <c r="J901" s="3"/>
      <c r="K901" s="1">
        <v>11809505.27</v>
      </c>
      <c r="L901" s="5"/>
      <c r="M901" s="5"/>
      <c r="N901" s="3"/>
      <c r="O901" s="1">
        <v>583213.36</v>
      </c>
      <c r="P901" s="3"/>
      <c r="Q901" s="3">
        <f>H901</f>
        <v>12392718.630000001</v>
      </c>
      <c r="R901" s="3"/>
      <c r="S901" s="1"/>
      <c r="T901" s="182">
        <v>2022</v>
      </c>
      <c r="U901" s="182">
        <v>2023</v>
      </c>
    </row>
    <row r="902" spans="1:21" ht="15.75">
      <c r="A902" s="182">
        <f t="shared" si="176"/>
        <v>196</v>
      </c>
      <c r="B902" s="186" t="s">
        <v>708</v>
      </c>
      <c r="C902" s="190">
        <v>1952</v>
      </c>
      <c r="D902" s="182"/>
      <c r="E902" s="182"/>
      <c r="F902" s="180">
        <v>924.8</v>
      </c>
      <c r="G902" s="180">
        <v>608.1</v>
      </c>
      <c r="H902" s="2">
        <f t="shared" si="175"/>
        <v>5410776.21</v>
      </c>
      <c r="I902" s="3">
        <v>0</v>
      </c>
      <c r="J902" s="3">
        <v>0</v>
      </c>
      <c r="K902" s="1">
        <f>ROUND(8645.31*G902*1.015,2)</f>
        <v>5336071.21</v>
      </c>
      <c r="L902" s="5">
        <v>0</v>
      </c>
      <c r="M902" s="5">
        <v>0</v>
      </c>
      <c r="N902" s="3">
        <v>0</v>
      </c>
      <c r="O902" s="1">
        <f>ROUND(K902*1.4%,2)</f>
        <v>74705</v>
      </c>
      <c r="P902" s="3">
        <v>0</v>
      </c>
      <c r="Q902" s="3">
        <v>0</v>
      </c>
      <c r="R902" s="3">
        <v>0</v>
      </c>
      <c r="S902" s="1">
        <f>H902</f>
        <v>5410776.21</v>
      </c>
      <c r="T902" s="182">
        <v>2020</v>
      </c>
      <c r="U902" s="182">
        <v>2022</v>
      </c>
    </row>
    <row r="903" spans="1:21" ht="15.75">
      <c r="A903" s="182">
        <f t="shared" si="176"/>
        <v>197</v>
      </c>
      <c r="B903" s="186" t="s">
        <v>709</v>
      </c>
      <c r="C903" s="190">
        <v>1960</v>
      </c>
      <c r="D903" s="182"/>
      <c r="E903" s="182"/>
      <c r="F903" s="180">
        <v>1743.9</v>
      </c>
      <c r="G903" s="180">
        <v>1623.5</v>
      </c>
      <c r="H903" s="2">
        <f t="shared" si="175"/>
        <v>10168016.1</v>
      </c>
      <c r="I903" s="3">
        <v>0</v>
      </c>
      <c r="J903" s="3">
        <v>0</v>
      </c>
      <c r="K903" s="1">
        <f>ROUND(5975.33*G903*1.015,2)</f>
        <v>9846462.4800000004</v>
      </c>
      <c r="L903" s="1">
        <v>0</v>
      </c>
      <c r="M903" s="1">
        <v>0</v>
      </c>
      <c r="N903" s="2">
        <v>0</v>
      </c>
      <c r="O903" s="1">
        <v>321553.62</v>
      </c>
      <c r="P903" s="3">
        <v>0</v>
      </c>
      <c r="Q903" s="3">
        <v>0</v>
      </c>
      <c r="R903" s="3">
        <v>0</v>
      </c>
      <c r="S903" s="1">
        <f>H903</f>
        <v>10168016.1</v>
      </c>
      <c r="T903" s="182">
        <v>2020</v>
      </c>
      <c r="U903" s="182">
        <v>2022</v>
      </c>
    </row>
    <row r="904" spans="1:21" ht="15.75">
      <c r="A904" s="182">
        <f t="shared" si="176"/>
        <v>198</v>
      </c>
      <c r="B904" s="186" t="s">
        <v>710</v>
      </c>
      <c r="C904" s="190">
        <v>1963</v>
      </c>
      <c r="D904" s="182"/>
      <c r="E904" s="182"/>
      <c r="F904" s="180"/>
      <c r="G904" s="180">
        <v>1867.9</v>
      </c>
      <c r="H904" s="2">
        <f t="shared" si="175"/>
        <v>7263149.8300000001</v>
      </c>
      <c r="I904" s="3">
        <v>0</v>
      </c>
      <c r="J904" s="3">
        <v>0</v>
      </c>
      <c r="K904" s="1">
        <f>ROUND(G904*3617.12*1.015,2)</f>
        <v>6857764.7199999997</v>
      </c>
      <c r="L904" s="9">
        <v>0</v>
      </c>
      <c r="M904" s="11">
        <v>0</v>
      </c>
      <c r="N904" s="3">
        <v>0</v>
      </c>
      <c r="O904" s="1">
        <v>405385.11</v>
      </c>
      <c r="P904" s="3">
        <v>0</v>
      </c>
      <c r="Q904" s="3">
        <v>0</v>
      </c>
      <c r="R904" s="3">
        <v>0</v>
      </c>
      <c r="S904" s="1">
        <f>H904</f>
        <v>7263149.8300000001</v>
      </c>
      <c r="T904" s="182">
        <v>2022</v>
      </c>
      <c r="U904" s="182">
        <v>2022</v>
      </c>
    </row>
    <row r="905" spans="1:21" ht="15.75">
      <c r="A905" s="182">
        <f t="shared" si="176"/>
        <v>199</v>
      </c>
      <c r="B905" s="186" t="s">
        <v>206</v>
      </c>
      <c r="C905" s="190">
        <v>1981</v>
      </c>
      <c r="D905" s="182"/>
      <c r="E905" s="182"/>
      <c r="F905" s="180">
        <v>2753.1</v>
      </c>
      <c r="G905" s="180">
        <v>2449</v>
      </c>
      <c r="H905" s="2">
        <f t="shared" si="175"/>
        <v>3964710.66</v>
      </c>
      <c r="I905" s="3"/>
      <c r="J905" s="3"/>
      <c r="K905" s="1">
        <v>3708922.88</v>
      </c>
      <c r="L905" s="1"/>
      <c r="M905" s="1"/>
      <c r="N905" s="2"/>
      <c r="O905" s="1">
        <v>255787.78</v>
      </c>
      <c r="P905" s="3"/>
      <c r="Q905" s="3">
        <f>O905+K905</f>
        <v>3964710.66</v>
      </c>
      <c r="R905" s="3"/>
      <c r="S905" s="1"/>
      <c r="T905" s="182">
        <v>2022</v>
      </c>
      <c r="U905" s="182">
        <v>2023</v>
      </c>
    </row>
    <row r="906" spans="1:21" ht="15.75">
      <c r="A906" s="182">
        <f t="shared" si="176"/>
        <v>200</v>
      </c>
      <c r="B906" s="186" t="s">
        <v>1010</v>
      </c>
      <c r="C906" s="190">
        <v>1976</v>
      </c>
      <c r="D906" s="182"/>
      <c r="E906" s="182"/>
      <c r="F906" s="180">
        <v>3432.7</v>
      </c>
      <c r="G906" s="180">
        <v>3432.7</v>
      </c>
      <c r="H906" s="2">
        <f t="shared" si="175"/>
        <v>4545170.68</v>
      </c>
      <c r="I906" s="3"/>
      <c r="J906" s="3"/>
      <c r="K906" s="1"/>
      <c r="L906" s="1"/>
      <c r="M906" s="1">
        <v>4251648.71</v>
      </c>
      <c r="N906" s="2"/>
      <c r="O906" s="1">
        <v>293521.96999999997</v>
      </c>
      <c r="P906" s="3"/>
      <c r="Q906" s="3">
        <f>O906+M906</f>
        <v>4545170.68</v>
      </c>
      <c r="R906" s="3"/>
      <c r="S906" s="1"/>
      <c r="T906" s="182">
        <v>2022</v>
      </c>
      <c r="U906" s="182">
        <v>2023</v>
      </c>
    </row>
    <row r="907" spans="1:21" ht="15.75">
      <c r="A907" s="182">
        <f t="shared" si="176"/>
        <v>201</v>
      </c>
      <c r="B907" s="186" t="s">
        <v>1030</v>
      </c>
      <c r="C907" s="190">
        <v>1978</v>
      </c>
      <c r="D907" s="182"/>
      <c r="E907" s="182"/>
      <c r="F907" s="180">
        <v>4212</v>
      </c>
      <c r="G907" s="180">
        <v>4202.7</v>
      </c>
      <c r="H907" s="2">
        <f t="shared" si="175"/>
        <v>4434582.8600000003</v>
      </c>
      <c r="I907" s="3"/>
      <c r="J907" s="3">
        <v>4323718.29</v>
      </c>
      <c r="K907" s="1"/>
      <c r="L907" s="1"/>
      <c r="M907" s="1"/>
      <c r="N907" s="2"/>
      <c r="O907" s="1">
        <v>110864.57</v>
      </c>
      <c r="P907" s="3"/>
      <c r="Q907" s="3"/>
      <c r="R907" s="3"/>
      <c r="S907" s="1">
        <f>O907+J907</f>
        <v>4434582.8600000003</v>
      </c>
      <c r="T907" s="182">
        <v>2022</v>
      </c>
      <c r="U907" s="182">
        <v>2022</v>
      </c>
    </row>
    <row r="908" spans="1:21" ht="15.75">
      <c r="A908" s="182">
        <f t="shared" si="176"/>
        <v>202</v>
      </c>
      <c r="B908" s="186" t="s">
        <v>1031</v>
      </c>
      <c r="C908" s="190">
        <v>1977</v>
      </c>
      <c r="D908" s="182"/>
      <c r="E908" s="182"/>
      <c r="F908" s="180">
        <v>4117.3</v>
      </c>
      <c r="G908" s="180">
        <v>4117.3</v>
      </c>
      <c r="H908" s="2">
        <f t="shared" si="175"/>
        <v>4434582.84</v>
      </c>
      <c r="I908" s="3"/>
      <c r="J908" s="3">
        <v>4323718.28</v>
      </c>
      <c r="K908" s="1"/>
      <c r="L908" s="1"/>
      <c r="M908" s="1"/>
      <c r="N908" s="2"/>
      <c r="O908" s="1">
        <v>110864.56</v>
      </c>
      <c r="P908" s="3"/>
      <c r="Q908" s="3"/>
      <c r="R908" s="3"/>
      <c r="S908" s="1">
        <f>O908+J908</f>
        <v>4434582.84</v>
      </c>
      <c r="T908" s="182">
        <v>2022</v>
      </c>
      <c r="U908" s="182">
        <v>2022</v>
      </c>
    </row>
    <row r="909" spans="1:21" ht="15.75">
      <c r="A909" s="182">
        <f t="shared" si="176"/>
        <v>203</v>
      </c>
      <c r="B909" s="186" t="s">
        <v>711</v>
      </c>
      <c r="C909" s="190">
        <v>1954</v>
      </c>
      <c r="D909" s="182"/>
      <c r="E909" s="182"/>
      <c r="F909" s="180">
        <v>10494.1</v>
      </c>
      <c r="G909" s="180">
        <v>10494.1</v>
      </c>
      <c r="H909" s="2">
        <f t="shared" si="175"/>
        <v>43491005.579999998</v>
      </c>
      <c r="I909" s="3">
        <v>0</v>
      </c>
      <c r="J909" s="3">
        <v>0</v>
      </c>
      <c r="K909" s="1">
        <f>ROUND(G909*3855.19*1.015,2)</f>
        <v>41063600.619999997</v>
      </c>
      <c r="L909" s="1">
        <v>0</v>
      </c>
      <c r="M909" s="1">
        <v>0</v>
      </c>
      <c r="N909" s="2">
        <v>0</v>
      </c>
      <c r="O909" s="1">
        <v>2427404.96</v>
      </c>
      <c r="P909" s="3">
        <v>0</v>
      </c>
      <c r="Q909" s="3">
        <v>0</v>
      </c>
      <c r="R909" s="3">
        <v>0</v>
      </c>
      <c r="S909" s="1">
        <f>H909</f>
        <v>43491005.579999998</v>
      </c>
      <c r="T909" s="182">
        <v>2022</v>
      </c>
      <c r="U909" s="182">
        <v>2023</v>
      </c>
    </row>
    <row r="910" spans="1:21" ht="15.75">
      <c r="A910" s="182">
        <f t="shared" si="176"/>
        <v>204</v>
      </c>
      <c r="B910" s="186" t="s">
        <v>1069</v>
      </c>
      <c r="C910" s="190">
        <v>1941</v>
      </c>
      <c r="D910" s="182"/>
      <c r="E910" s="182"/>
      <c r="F910" s="180">
        <v>3088.7</v>
      </c>
      <c r="G910" s="180">
        <v>3088.7</v>
      </c>
      <c r="H910" s="2">
        <f t="shared" si="175"/>
        <v>17591269</v>
      </c>
      <c r="I910" s="3"/>
      <c r="J910" s="3"/>
      <c r="K910" s="1">
        <v>16762935.91</v>
      </c>
      <c r="L910" s="1"/>
      <c r="M910" s="1"/>
      <c r="N910" s="2"/>
      <c r="O910" s="1">
        <v>828333.09</v>
      </c>
      <c r="P910" s="3"/>
      <c r="Q910" s="3">
        <f>H910</f>
        <v>17591269</v>
      </c>
      <c r="R910" s="3"/>
      <c r="S910" s="1"/>
      <c r="T910" s="182">
        <v>2022</v>
      </c>
      <c r="U910" s="182">
        <v>2023</v>
      </c>
    </row>
    <row r="911" spans="1:21" ht="15.75">
      <c r="A911" s="182">
        <f t="shared" si="176"/>
        <v>205</v>
      </c>
      <c r="B911" s="186" t="s">
        <v>712</v>
      </c>
      <c r="C911" s="190" t="s">
        <v>713</v>
      </c>
      <c r="D911" s="182"/>
      <c r="E911" s="182"/>
      <c r="F911" s="180">
        <v>3867.2</v>
      </c>
      <c r="G911" s="180">
        <v>3212.4</v>
      </c>
      <c r="H911" s="2">
        <f t="shared" si="175"/>
        <v>13899717.609999999</v>
      </c>
      <c r="I911" s="3">
        <f>ROUND(1197448.78*1.015,2)</f>
        <v>1215410.51</v>
      </c>
      <c r="J911" s="3">
        <v>0</v>
      </c>
      <c r="K911" s="1">
        <f>ROUND(3727.29*G911*1.015,2)</f>
        <v>12153149.59</v>
      </c>
      <c r="L911" s="10">
        <v>0</v>
      </c>
      <c r="M911" s="10">
        <v>0</v>
      </c>
      <c r="N911" s="3">
        <v>0</v>
      </c>
      <c r="O911" s="1">
        <f>179617.32+351540.19</f>
        <v>531157.51</v>
      </c>
      <c r="P911" s="3">
        <v>0</v>
      </c>
      <c r="Q911" s="3">
        <v>0</v>
      </c>
      <c r="R911" s="3">
        <v>0</v>
      </c>
      <c r="S911" s="1">
        <f>H911</f>
        <v>13899717.609999999</v>
      </c>
      <c r="T911" s="182">
        <v>2020</v>
      </c>
      <c r="U911" s="182">
        <v>2022</v>
      </c>
    </row>
    <row r="912" spans="1:21" ht="15.75">
      <c r="A912" s="182">
        <f t="shared" si="176"/>
        <v>206</v>
      </c>
      <c r="B912" s="186" t="s">
        <v>968</v>
      </c>
      <c r="C912" s="190">
        <v>1986</v>
      </c>
      <c r="D912" s="182"/>
      <c r="E912" s="182"/>
      <c r="F912" s="180">
        <v>12414</v>
      </c>
      <c r="G912" s="180">
        <v>13610.5</v>
      </c>
      <c r="H912" s="2">
        <f t="shared" si="175"/>
        <v>9919589.6199999992</v>
      </c>
      <c r="I912" s="3">
        <v>9423589.6199999992</v>
      </c>
      <c r="J912" s="3"/>
      <c r="K912" s="1"/>
      <c r="L912" s="3"/>
      <c r="M912" s="3"/>
      <c r="N912" s="3"/>
      <c r="O912" s="1">
        <v>496000</v>
      </c>
      <c r="P912" s="3"/>
      <c r="Q912" s="3">
        <f>H912</f>
        <v>9919589.6199999992</v>
      </c>
      <c r="R912" s="3"/>
      <c r="S912" s="1"/>
      <c r="T912" s="182">
        <v>2022</v>
      </c>
      <c r="U912" s="182">
        <v>2022</v>
      </c>
    </row>
    <row r="913" spans="1:22" ht="15.75">
      <c r="A913" s="197">
        <f t="shared" si="176"/>
        <v>207</v>
      </c>
      <c r="B913" s="199" t="s">
        <v>969</v>
      </c>
      <c r="C913" s="200">
        <v>1993</v>
      </c>
      <c r="D913" s="197"/>
      <c r="E913" s="197" t="s">
        <v>1066</v>
      </c>
      <c r="F913" s="201">
        <v>10449.1</v>
      </c>
      <c r="G913" s="201">
        <v>10704.4</v>
      </c>
      <c r="H913" s="4">
        <f t="shared" si="175"/>
        <v>7439692.2199999997</v>
      </c>
      <c r="I913" s="5">
        <v>7067692.2199999997</v>
      </c>
      <c r="J913" s="5"/>
      <c r="K913" s="6"/>
      <c r="L913" s="5"/>
      <c r="M913" s="5"/>
      <c r="N913" s="5"/>
      <c r="O913" s="6">
        <v>372000</v>
      </c>
      <c r="P913" s="5"/>
      <c r="Q913" s="5">
        <f>H913</f>
        <v>7439692.2199999997</v>
      </c>
      <c r="R913" s="5"/>
      <c r="S913" s="6"/>
      <c r="T913" s="197">
        <v>2022</v>
      </c>
      <c r="U913" s="197">
        <v>2022</v>
      </c>
    </row>
    <row r="914" spans="1:22" ht="15.75">
      <c r="A914" s="182">
        <f t="shared" si="176"/>
        <v>208</v>
      </c>
      <c r="B914" s="186" t="s">
        <v>970</v>
      </c>
      <c r="C914" s="190">
        <v>1993</v>
      </c>
      <c r="D914" s="182"/>
      <c r="E914" s="182"/>
      <c r="F914" s="180">
        <v>10722.8</v>
      </c>
      <c r="G914" s="180">
        <v>10765.8</v>
      </c>
      <c r="H914" s="1">
        <f t="shared" si="175"/>
        <v>7439692.2199999997</v>
      </c>
      <c r="I914" s="1">
        <v>7067692.2199999997</v>
      </c>
      <c r="J914" s="1"/>
      <c r="K914" s="1"/>
      <c r="L914" s="1"/>
      <c r="M914" s="1"/>
      <c r="N914" s="1"/>
      <c r="O914" s="1">
        <v>372000</v>
      </c>
      <c r="P914" s="1"/>
      <c r="Q914" s="1">
        <f>H914</f>
        <v>7439692.2199999997</v>
      </c>
      <c r="R914" s="1"/>
      <c r="S914" s="1"/>
      <c r="T914" s="182">
        <v>2022</v>
      </c>
      <c r="U914" s="182">
        <v>2022</v>
      </c>
    </row>
    <row r="915" spans="1:22" ht="15.75">
      <c r="A915" s="197">
        <f t="shared" si="176"/>
        <v>209</v>
      </c>
      <c r="B915" s="202" t="s">
        <v>1071</v>
      </c>
      <c r="C915" s="203">
        <v>1969</v>
      </c>
      <c r="D915" s="204"/>
      <c r="E915" s="204"/>
      <c r="F915" s="205">
        <v>2818.7</v>
      </c>
      <c r="G915" s="205">
        <v>2517.1999999999998</v>
      </c>
      <c r="H915" s="1">
        <f t="shared" si="175"/>
        <v>580972.06000000006</v>
      </c>
      <c r="I915" s="1">
        <f>71884.43+139303.95+139303.95+230479.73</f>
        <v>580972.06000000006</v>
      </c>
      <c r="J915" s="1"/>
      <c r="K915" s="1"/>
      <c r="L915" s="1"/>
      <c r="M915" s="1"/>
      <c r="N915" s="1"/>
      <c r="O915" s="1"/>
      <c r="P915" s="1"/>
      <c r="Q915" s="1">
        <f>H915</f>
        <v>580972.06000000006</v>
      </c>
      <c r="R915" s="1"/>
      <c r="S915" s="1"/>
      <c r="T915" s="182">
        <v>2022</v>
      </c>
      <c r="U915" s="182">
        <v>2023</v>
      </c>
    </row>
    <row r="916" spans="1:22" ht="15.75">
      <c r="A916" s="182">
        <f t="shared" si="176"/>
        <v>210</v>
      </c>
      <c r="B916" s="202" t="s">
        <v>714</v>
      </c>
      <c r="C916" s="203">
        <v>1970</v>
      </c>
      <c r="D916" s="204"/>
      <c r="E916" s="204"/>
      <c r="F916" s="205">
        <v>6607.5</v>
      </c>
      <c r="G916" s="205">
        <v>6019.7</v>
      </c>
      <c r="H916" s="7">
        <f t="shared" si="175"/>
        <v>22962910.140000001</v>
      </c>
      <c r="I916" s="10">
        <v>0</v>
      </c>
      <c r="J916" s="10"/>
      <c r="K916" s="9">
        <f>ROUND(2604.66*G916*1.015,2)</f>
        <v>15914460.880000001</v>
      </c>
      <c r="L916" s="10"/>
      <c r="M916" s="10">
        <f>1101.5*G916*1.015</f>
        <v>6730160.04</v>
      </c>
      <c r="N916" s="10"/>
      <c r="O916" s="9">
        <f>K916*2%</f>
        <v>318289.21999999997</v>
      </c>
      <c r="P916" s="10">
        <v>0</v>
      </c>
      <c r="Q916" s="10">
        <v>0</v>
      </c>
      <c r="R916" s="10">
        <v>0</v>
      </c>
      <c r="S916" s="9">
        <f>H916</f>
        <v>22962910.140000001</v>
      </c>
      <c r="T916" s="204">
        <v>2020</v>
      </c>
      <c r="U916" s="204">
        <v>2022</v>
      </c>
    </row>
    <row r="917" spans="1:22" ht="15.75">
      <c r="A917" s="182">
        <f t="shared" si="176"/>
        <v>211</v>
      </c>
      <c r="B917" s="186" t="s">
        <v>715</v>
      </c>
      <c r="C917" s="190">
        <v>1963</v>
      </c>
      <c r="D917" s="182"/>
      <c r="E917" s="182"/>
      <c r="F917" s="180">
        <v>3563.7</v>
      </c>
      <c r="G917" s="180">
        <v>3533.2</v>
      </c>
      <c r="H917" s="2">
        <f t="shared" si="175"/>
        <v>35178799.229999997</v>
      </c>
      <c r="I917" s="3">
        <f>ROUND(G917*(616.25+3349.66+650.2+643.1+644.55)*1.015,2)</f>
        <v>21172052.300000001</v>
      </c>
      <c r="J917" s="3">
        <v>0</v>
      </c>
      <c r="K917" s="1">
        <f>ROUND(G917*3517.3*1.015,2)</f>
        <v>12613734.23</v>
      </c>
      <c r="L917" s="3">
        <v>0</v>
      </c>
      <c r="M917" s="3">
        <v>0</v>
      </c>
      <c r="N917" s="3">
        <v>0</v>
      </c>
      <c r="O917" s="1">
        <f>872939.21+520073.49</f>
        <v>1393012.7</v>
      </c>
      <c r="P917" s="3">
        <v>0</v>
      </c>
      <c r="Q917" s="3">
        <v>0</v>
      </c>
      <c r="R917" s="3">
        <v>0</v>
      </c>
      <c r="S917" s="1">
        <f>H917</f>
        <v>35178799.229999997</v>
      </c>
      <c r="T917" s="182">
        <v>2022</v>
      </c>
      <c r="U917" s="182">
        <v>2022</v>
      </c>
    </row>
    <row r="918" spans="1:22" ht="15.75">
      <c r="A918" s="197">
        <f t="shared" si="176"/>
        <v>212</v>
      </c>
      <c r="B918" s="199" t="s">
        <v>716</v>
      </c>
      <c r="C918" s="200">
        <v>1962</v>
      </c>
      <c r="D918" s="197"/>
      <c r="E918" s="197"/>
      <c r="F918" s="201">
        <v>2565.1</v>
      </c>
      <c r="G918" s="201">
        <v>2532.8000000000002</v>
      </c>
      <c r="H918" s="4">
        <f t="shared" si="175"/>
        <v>9897556.5199999996</v>
      </c>
      <c r="I918" s="5">
        <v>0</v>
      </c>
      <c r="J918" s="5">
        <v>0</v>
      </c>
      <c r="K918" s="6">
        <f>ROUND(3727.29*G918*1.015,2)</f>
        <v>9582087.3100000005</v>
      </c>
      <c r="L918" s="5">
        <v>0</v>
      </c>
      <c r="M918" s="5">
        <v>0</v>
      </c>
      <c r="N918" s="5">
        <v>0</v>
      </c>
      <c r="O918" s="6">
        <v>315469.21000000002</v>
      </c>
      <c r="P918" s="5">
        <v>0</v>
      </c>
      <c r="Q918" s="5">
        <v>0</v>
      </c>
      <c r="R918" s="5">
        <v>0</v>
      </c>
      <c r="S918" s="6">
        <f>H918</f>
        <v>9897556.5199999996</v>
      </c>
      <c r="T918" s="197">
        <v>2020</v>
      </c>
      <c r="U918" s="197">
        <v>2022</v>
      </c>
    </row>
    <row r="919" spans="1:22" s="64" customFormat="1" ht="15.75">
      <c r="A919" s="182">
        <f t="shared" si="176"/>
        <v>213</v>
      </c>
      <c r="B919" s="186" t="s">
        <v>971</v>
      </c>
      <c r="C919" s="190">
        <v>1981</v>
      </c>
      <c r="D919" s="182"/>
      <c r="E919" s="182"/>
      <c r="F919" s="180">
        <v>2851.3</v>
      </c>
      <c r="G919" s="180">
        <v>2632.3</v>
      </c>
      <c r="H919" s="1">
        <f t="shared" si="175"/>
        <v>2482532.17</v>
      </c>
      <c r="I919" s="1">
        <v>2358532.17</v>
      </c>
      <c r="J919" s="1"/>
      <c r="K919" s="1"/>
      <c r="L919" s="1"/>
      <c r="M919" s="1"/>
      <c r="N919" s="1"/>
      <c r="O919" s="1">
        <v>124000</v>
      </c>
      <c r="P919" s="1"/>
      <c r="Q919" s="1">
        <f>H919</f>
        <v>2482532.17</v>
      </c>
      <c r="R919" s="1"/>
      <c r="S919" s="1"/>
      <c r="T919" s="182">
        <v>2022</v>
      </c>
      <c r="U919" s="182">
        <v>2022</v>
      </c>
      <c r="V919" s="52"/>
    </row>
    <row r="920" spans="1:22" s="64" customFormat="1" ht="15.75">
      <c r="A920" s="182">
        <f t="shared" si="176"/>
        <v>214</v>
      </c>
      <c r="B920" s="186" t="s">
        <v>972</v>
      </c>
      <c r="C920" s="190">
        <v>1981</v>
      </c>
      <c r="D920" s="182"/>
      <c r="E920" s="182"/>
      <c r="F920" s="180">
        <v>11792.6</v>
      </c>
      <c r="G920" s="180">
        <v>11474.3</v>
      </c>
      <c r="H920" s="1">
        <f t="shared" si="175"/>
        <v>4965064.33</v>
      </c>
      <c r="I920" s="1">
        <v>4717064.33</v>
      </c>
      <c r="J920" s="1"/>
      <c r="K920" s="1"/>
      <c r="L920" s="1"/>
      <c r="M920" s="1"/>
      <c r="N920" s="1"/>
      <c r="O920" s="1">
        <v>248000</v>
      </c>
      <c r="P920" s="1"/>
      <c r="Q920" s="1">
        <f>H920</f>
        <v>4965064.33</v>
      </c>
      <c r="R920" s="1"/>
      <c r="S920" s="1"/>
      <c r="T920" s="182">
        <v>2022</v>
      </c>
      <c r="U920" s="182">
        <v>2022</v>
      </c>
      <c r="V920" s="52"/>
    </row>
    <row r="921" spans="1:22" s="64" customFormat="1" ht="15.75">
      <c r="A921" s="182">
        <f t="shared" si="176"/>
        <v>215</v>
      </c>
      <c r="B921" s="186" t="s">
        <v>973</v>
      </c>
      <c r="C921" s="190">
        <v>1982</v>
      </c>
      <c r="D921" s="182"/>
      <c r="E921" s="182"/>
      <c r="F921" s="180">
        <v>2856.9</v>
      </c>
      <c r="G921" s="180">
        <v>2635.1</v>
      </c>
      <c r="H921" s="1">
        <f t="shared" si="175"/>
        <v>2482532.17</v>
      </c>
      <c r="I921" s="1">
        <v>2358532.17</v>
      </c>
      <c r="J921" s="1"/>
      <c r="K921" s="1"/>
      <c r="L921" s="1"/>
      <c r="M921" s="1"/>
      <c r="N921" s="1"/>
      <c r="O921" s="1">
        <v>124000</v>
      </c>
      <c r="P921" s="1"/>
      <c r="Q921" s="1">
        <f>H921</f>
        <v>2482532.17</v>
      </c>
      <c r="R921" s="1"/>
      <c r="S921" s="1"/>
      <c r="T921" s="182">
        <v>2022</v>
      </c>
      <c r="U921" s="182">
        <v>2022</v>
      </c>
      <c r="V921" s="52"/>
    </row>
    <row r="922" spans="1:22" s="64" customFormat="1" ht="15.75">
      <c r="A922" s="182">
        <f t="shared" si="176"/>
        <v>216</v>
      </c>
      <c r="B922" s="186" t="s">
        <v>974</v>
      </c>
      <c r="C922" s="190">
        <v>1982</v>
      </c>
      <c r="D922" s="182"/>
      <c r="E922" s="182"/>
      <c r="F922" s="180">
        <v>1769.9</v>
      </c>
      <c r="G922" s="180">
        <v>1223.5999999999999</v>
      </c>
      <c r="H922" s="1">
        <f t="shared" si="175"/>
        <v>2482532.17</v>
      </c>
      <c r="I922" s="1">
        <v>2358532.17</v>
      </c>
      <c r="J922" s="1"/>
      <c r="K922" s="1"/>
      <c r="L922" s="1"/>
      <c r="M922" s="1"/>
      <c r="N922" s="1"/>
      <c r="O922" s="1">
        <v>124000</v>
      </c>
      <c r="P922" s="1"/>
      <c r="Q922" s="1">
        <f>H922</f>
        <v>2482532.17</v>
      </c>
      <c r="R922" s="1"/>
      <c r="S922" s="1"/>
      <c r="T922" s="182">
        <v>2022</v>
      </c>
      <c r="U922" s="182">
        <v>2022</v>
      </c>
      <c r="V922" s="52"/>
    </row>
    <row r="923" spans="1:22" s="64" customFormat="1" ht="15.75">
      <c r="A923" s="182">
        <f t="shared" si="176"/>
        <v>217</v>
      </c>
      <c r="B923" s="186" t="s">
        <v>975</v>
      </c>
      <c r="C923" s="190">
        <v>1981</v>
      </c>
      <c r="D923" s="182"/>
      <c r="E923" s="182"/>
      <c r="F923" s="180">
        <v>3877.8</v>
      </c>
      <c r="G923" s="180">
        <v>3830.8</v>
      </c>
      <c r="H923" s="1">
        <f t="shared" si="175"/>
        <v>2482532.17</v>
      </c>
      <c r="I923" s="1">
        <v>2358532.17</v>
      </c>
      <c r="J923" s="1"/>
      <c r="K923" s="1"/>
      <c r="L923" s="1"/>
      <c r="M923" s="1"/>
      <c r="N923" s="1"/>
      <c r="O923" s="1">
        <v>124000</v>
      </c>
      <c r="P923" s="1"/>
      <c r="Q923" s="1">
        <f>H923</f>
        <v>2482532.17</v>
      </c>
      <c r="R923" s="1"/>
      <c r="S923" s="1"/>
      <c r="T923" s="182">
        <v>2022</v>
      </c>
      <c r="U923" s="182">
        <v>2022</v>
      </c>
      <c r="V923" s="52"/>
    </row>
    <row r="924" spans="1:22" ht="15.75">
      <c r="A924" s="206">
        <f t="shared" si="176"/>
        <v>218</v>
      </c>
      <c r="B924" s="207" t="s">
        <v>717</v>
      </c>
      <c r="C924" s="208">
        <v>1965</v>
      </c>
      <c r="D924" s="206"/>
      <c r="E924" s="206"/>
      <c r="F924" s="209">
        <v>1614.1</v>
      </c>
      <c r="G924" s="209">
        <v>1481.6</v>
      </c>
      <c r="H924" s="8">
        <f t="shared" si="175"/>
        <v>6065771.5700000003</v>
      </c>
      <c r="I924" s="8">
        <v>0</v>
      </c>
      <c r="J924" s="8">
        <v>0</v>
      </c>
      <c r="K924" s="8">
        <f>ROUND(G924*3617.12*1.015,2)</f>
        <v>5439511.8700000001</v>
      </c>
      <c r="L924" s="8">
        <v>0</v>
      </c>
      <c r="M924" s="8">
        <v>0</v>
      </c>
      <c r="N924" s="8">
        <v>0</v>
      </c>
      <c r="O924" s="8">
        <v>626259.69999999995</v>
      </c>
      <c r="P924" s="8">
        <v>0</v>
      </c>
      <c r="Q924" s="8">
        <v>0</v>
      </c>
      <c r="R924" s="8">
        <v>0</v>
      </c>
      <c r="S924" s="8">
        <f>H924</f>
        <v>6065771.5700000003</v>
      </c>
      <c r="T924" s="206">
        <v>2022</v>
      </c>
      <c r="U924" s="206">
        <v>2022</v>
      </c>
    </row>
    <row r="925" spans="1:22" s="64" customFormat="1" ht="15.75">
      <c r="A925" s="182">
        <f t="shared" si="176"/>
        <v>219</v>
      </c>
      <c r="B925" s="186" t="s">
        <v>976</v>
      </c>
      <c r="C925" s="190">
        <v>1977</v>
      </c>
      <c r="D925" s="182"/>
      <c r="E925" s="182"/>
      <c r="F925" s="180">
        <v>3501</v>
      </c>
      <c r="G925" s="180">
        <v>3500.7</v>
      </c>
      <c r="H925" s="1">
        <f t="shared" si="175"/>
        <v>9399647.1899999995</v>
      </c>
      <c r="I925" s="1">
        <v>4717064.33</v>
      </c>
      <c r="J925" s="1">
        <v>4323718.29</v>
      </c>
      <c r="K925" s="1"/>
      <c r="L925" s="1"/>
      <c r="M925" s="1"/>
      <c r="N925" s="1"/>
      <c r="O925" s="1">
        <f>248000+110864.57</f>
        <v>358864.57</v>
      </c>
      <c r="P925" s="1"/>
      <c r="Q925" s="1">
        <f>I925+248000</f>
        <v>4965064.33</v>
      </c>
      <c r="R925" s="1"/>
      <c r="S925" s="1">
        <f>425292.24+J925</f>
        <v>4749010.53</v>
      </c>
      <c r="T925" s="182">
        <v>2022</v>
      </c>
      <c r="U925" s="182">
        <v>2022</v>
      </c>
      <c r="V925" s="52"/>
    </row>
    <row r="926" spans="1:22" s="64" customFormat="1" ht="15.75">
      <c r="A926" s="182">
        <f t="shared" si="176"/>
        <v>220</v>
      </c>
      <c r="B926" s="186" t="s">
        <v>977</v>
      </c>
      <c r="C926" s="190">
        <v>1977</v>
      </c>
      <c r="D926" s="182"/>
      <c r="E926" s="182"/>
      <c r="F926" s="180">
        <v>3483</v>
      </c>
      <c r="G926" s="180">
        <v>3482.5</v>
      </c>
      <c r="H926" s="1">
        <f t="shared" si="175"/>
        <v>9399647.1899999995</v>
      </c>
      <c r="I926" s="1">
        <v>4717064.33</v>
      </c>
      <c r="J926" s="1">
        <v>4323718.29</v>
      </c>
      <c r="K926" s="1"/>
      <c r="L926" s="1"/>
      <c r="M926" s="1"/>
      <c r="N926" s="1"/>
      <c r="O926" s="1">
        <f>248000+110864.57</f>
        <v>358864.57</v>
      </c>
      <c r="P926" s="1"/>
      <c r="Q926" s="1">
        <f>I926+248000</f>
        <v>4965064.33</v>
      </c>
      <c r="R926" s="1"/>
      <c r="S926" s="1">
        <f>425292.24+J926</f>
        <v>4749010.53</v>
      </c>
      <c r="T926" s="182">
        <v>2022</v>
      </c>
      <c r="U926" s="182">
        <v>2022</v>
      </c>
      <c r="V926" s="52"/>
    </row>
    <row r="927" spans="1:22" s="64" customFormat="1" ht="15.75">
      <c r="A927" s="182">
        <f t="shared" si="176"/>
        <v>221</v>
      </c>
      <c r="B927" s="186" t="s">
        <v>978</v>
      </c>
      <c r="C927" s="190">
        <v>1977</v>
      </c>
      <c r="D927" s="182"/>
      <c r="E927" s="182"/>
      <c r="F927" s="180">
        <v>3466</v>
      </c>
      <c r="G927" s="180">
        <v>3465.9</v>
      </c>
      <c r="H927" s="1">
        <f t="shared" si="175"/>
        <v>4965064.33</v>
      </c>
      <c r="I927" s="1">
        <v>4717064.33</v>
      </c>
      <c r="J927" s="1"/>
      <c r="K927" s="1"/>
      <c r="L927" s="1"/>
      <c r="M927" s="1"/>
      <c r="N927" s="1"/>
      <c r="O927" s="1">
        <v>248000</v>
      </c>
      <c r="P927" s="1"/>
      <c r="Q927" s="1">
        <f>H927</f>
        <v>4965064.33</v>
      </c>
      <c r="R927" s="1"/>
      <c r="S927" s="1"/>
      <c r="T927" s="182">
        <v>2022</v>
      </c>
      <c r="U927" s="182">
        <v>2022</v>
      </c>
      <c r="V927" s="52"/>
    </row>
    <row r="928" spans="1:22" s="64" customFormat="1" ht="15.75">
      <c r="A928" s="182">
        <f t="shared" si="176"/>
        <v>222</v>
      </c>
      <c r="B928" s="186" t="s">
        <v>979</v>
      </c>
      <c r="C928" s="190">
        <v>1977</v>
      </c>
      <c r="D928" s="182"/>
      <c r="E928" s="182"/>
      <c r="F928" s="180">
        <v>5240.3</v>
      </c>
      <c r="G928" s="180">
        <v>5240.3</v>
      </c>
      <c r="H928" s="1">
        <f t="shared" si="175"/>
        <v>14099470.779999999</v>
      </c>
      <c r="I928" s="1">
        <v>7075596.4900000002</v>
      </c>
      <c r="J928" s="1">
        <v>6485577.4400000004</v>
      </c>
      <c r="K928" s="1"/>
      <c r="L928" s="1"/>
      <c r="M928" s="1"/>
      <c r="N928" s="1"/>
      <c r="O928" s="1">
        <f>372000+166296.85</f>
        <v>538296.85</v>
      </c>
      <c r="P928" s="1"/>
      <c r="Q928" s="1">
        <f>I928+372000</f>
        <v>7447596.4900000002</v>
      </c>
      <c r="R928" s="1"/>
      <c r="S928" s="1">
        <f>637938.36+J928</f>
        <v>7123515.7999999998</v>
      </c>
      <c r="T928" s="182">
        <v>2022</v>
      </c>
      <c r="U928" s="182">
        <v>2022</v>
      </c>
      <c r="V928" s="52"/>
    </row>
    <row r="929" spans="1:22" s="64" customFormat="1" ht="15.75">
      <c r="A929" s="182">
        <f t="shared" si="176"/>
        <v>223</v>
      </c>
      <c r="B929" s="186" t="s">
        <v>980</v>
      </c>
      <c r="C929" s="190">
        <v>1978</v>
      </c>
      <c r="D929" s="182"/>
      <c r="E929" s="182"/>
      <c r="F929" s="180">
        <v>8780.2999999999993</v>
      </c>
      <c r="G929" s="180">
        <v>8780.2999999999993</v>
      </c>
      <c r="H929" s="1">
        <f t="shared" si="175"/>
        <v>12412660.810000001</v>
      </c>
      <c r="I929" s="1">
        <v>11792660.810000001</v>
      </c>
      <c r="J929" s="1"/>
      <c r="K929" s="1"/>
      <c r="L929" s="1"/>
      <c r="M929" s="1"/>
      <c r="N929" s="1"/>
      <c r="O929" s="1">
        <v>620000</v>
      </c>
      <c r="P929" s="1"/>
      <c r="Q929" s="1">
        <f>H929</f>
        <v>12412660.810000001</v>
      </c>
      <c r="R929" s="1"/>
      <c r="S929" s="1"/>
      <c r="T929" s="182">
        <v>2022</v>
      </c>
      <c r="U929" s="182">
        <v>2022</v>
      </c>
      <c r="V929" s="52"/>
    </row>
    <row r="930" spans="1:22" s="64" customFormat="1" ht="15.75">
      <c r="A930" s="182">
        <f t="shared" si="176"/>
        <v>224</v>
      </c>
      <c r="B930" s="186" t="s">
        <v>981</v>
      </c>
      <c r="C930" s="190">
        <v>1979</v>
      </c>
      <c r="D930" s="182"/>
      <c r="E930" s="182"/>
      <c r="F930" s="180">
        <v>5706.6</v>
      </c>
      <c r="G930" s="180">
        <v>5706.6</v>
      </c>
      <c r="H930" s="1">
        <f t="shared" si="175"/>
        <v>7447596.4900000002</v>
      </c>
      <c r="I930" s="1">
        <v>7075596.4900000002</v>
      </c>
      <c r="J930" s="1"/>
      <c r="K930" s="1"/>
      <c r="L930" s="1"/>
      <c r="M930" s="1"/>
      <c r="N930" s="1"/>
      <c r="O930" s="1">
        <v>372000</v>
      </c>
      <c r="P930" s="1"/>
      <c r="Q930" s="1">
        <f>H930</f>
        <v>7447596.4900000002</v>
      </c>
      <c r="R930" s="1"/>
      <c r="S930" s="1"/>
      <c r="T930" s="182">
        <v>2022</v>
      </c>
      <c r="U930" s="182">
        <v>2022</v>
      </c>
      <c r="V930" s="52"/>
    </row>
    <row r="931" spans="1:22" s="64" customFormat="1" ht="15.75">
      <c r="A931" s="182">
        <f t="shared" si="176"/>
        <v>225</v>
      </c>
      <c r="B931" s="186" t="s">
        <v>1041</v>
      </c>
      <c r="C931" s="203">
        <v>1986</v>
      </c>
      <c r="D931" s="204"/>
      <c r="E931" s="204"/>
      <c r="F931" s="205">
        <v>5519</v>
      </c>
      <c r="G931" s="205">
        <v>5519</v>
      </c>
      <c r="H931" s="1">
        <f t="shared" si="175"/>
        <v>2669745.71</v>
      </c>
      <c r="I931" s="9"/>
      <c r="J931" s="9">
        <v>2497444.4500000002</v>
      </c>
      <c r="K931" s="9"/>
      <c r="L931" s="9"/>
      <c r="M931" s="9"/>
      <c r="N931" s="9"/>
      <c r="O931" s="9">
        <v>172301.26</v>
      </c>
      <c r="P931" s="9"/>
      <c r="Q931" s="9">
        <f>O931+J931</f>
        <v>2669745.71</v>
      </c>
      <c r="R931" s="9"/>
      <c r="S931" s="9"/>
      <c r="T931" s="204">
        <v>2022</v>
      </c>
      <c r="U931" s="204">
        <v>2023</v>
      </c>
      <c r="V931" s="52"/>
    </row>
    <row r="932" spans="1:22" ht="15.75">
      <c r="A932" s="182">
        <f t="shared" si="176"/>
        <v>226</v>
      </c>
      <c r="B932" s="202" t="s">
        <v>718</v>
      </c>
      <c r="C932" s="203">
        <v>1962</v>
      </c>
      <c r="D932" s="204"/>
      <c r="E932" s="204"/>
      <c r="F932" s="205">
        <v>2742.6</v>
      </c>
      <c r="G932" s="205">
        <v>2431.1</v>
      </c>
      <c r="H932" s="9">
        <f t="shared" si="175"/>
        <v>9741020.8200000003</v>
      </c>
      <c r="I932" s="9">
        <v>0</v>
      </c>
      <c r="J932" s="9">
        <v>0</v>
      </c>
      <c r="K932" s="9">
        <f>ROUND(G932*3727.29*1.015,2)</f>
        <v>9197335.9399999995</v>
      </c>
      <c r="L932" s="9">
        <v>0</v>
      </c>
      <c r="M932" s="9">
        <v>0</v>
      </c>
      <c r="N932" s="9">
        <v>0</v>
      </c>
      <c r="O932" s="9">
        <v>543684.88</v>
      </c>
      <c r="P932" s="9">
        <v>0</v>
      </c>
      <c r="Q932" s="9">
        <v>0</v>
      </c>
      <c r="R932" s="9">
        <v>0</v>
      </c>
      <c r="S932" s="9">
        <f>H932</f>
        <v>9741020.8200000003</v>
      </c>
      <c r="T932" s="204">
        <v>2022</v>
      </c>
      <c r="U932" s="204">
        <v>2022</v>
      </c>
    </row>
    <row r="933" spans="1:22" ht="15.75">
      <c r="A933" s="182">
        <f t="shared" si="176"/>
        <v>227</v>
      </c>
      <c r="B933" s="186" t="s">
        <v>719</v>
      </c>
      <c r="C933" s="190">
        <v>1953</v>
      </c>
      <c r="D933" s="182"/>
      <c r="E933" s="182"/>
      <c r="F933" s="180">
        <v>1621.2</v>
      </c>
      <c r="G933" s="180">
        <v>1478.8</v>
      </c>
      <c r="H933" s="1">
        <f t="shared" si="175"/>
        <v>7014.9</v>
      </c>
      <c r="I933" s="1">
        <v>0</v>
      </c>
      <c r="J933" s="1">
        <v>0</v>
      </c>
      <c r="K933" s="1">
        <v>0</v>
      </c>
      <c r="L933" s="1"/>
      <c r="M933" s="1">
        <v>0</v>
      </c>
      <c r="N933" s="1">
        <v>0</v>
      </c>
      <c r="O933" s="1">
        <v>7014.9</v>
      </c>
      <c r="P933" s="1">
        <v>0</v>
      </c>
      <c r="Q933" s="1">
        <v>0</v>
      </c>
      <c r="R933" s="1">
        <v>0</v>
      </c>
      <c r="S933" s="1">
        <f>H933</f>
        <v>7014.9</v>
      </c>
      <c r="T933" s="182">
        <v>2020</v>
      </c>
      <c r="U933" s="182">
        <v>2022</v>
      </c>
    </row>
    <row r="934" spans="1:22" ht="15.75">
      <c r="A934" s="197">
        <f t="shared" si="176"/>
        <v>228</v>
      </c>
      <c r="B934" s="199" t="s">
        <v>720</v>
      </c>
      <c r="C934" s="200">
        <v>1959</v>
      </c>
      <c r="D934" s="197"/>
      <c r="E934" s="197"/>
      <c r="F934" s="201">
        <v>1324.4</v>
      </c>
      <c r="G934" s="201">
        <v>1215.8</v>
      </c>
      <c r="H934" s="6">
        <f t="shared" si="175"/>
        <v>7684135.0099999998</v>
      </c>
      <c r="I934" s="6">
        <v>0</v>
      </c>
      <c r="J934" s="6">
        <v>0</v>
      </c>
      <c r="K934" s="6">
        <f>ROUND(G934*5975.33*1.015,2)</f>
        <v>7373778.3099999996</v>
      </c>
      <c r="L934" s="6">
        <v>0</v>
      </c>
      <c r="M934" s="6">
        <v>0</v>
      </c>
      <c r="N934" s="6">
        <v>0</v>
      </c>
      <c r="O934" s="6">
        <v>310356.7</v>
      </c>
      <c r="P934" s="6">
        <v>0</v>
      </c>
      <c r="Q934" s="6">
        <v>0</v>
      </c>
      <c r="R934" s="6">
        <v>0</v>
      </c>
      <c r="S934" s="6">
        <f>H934</f>
        <v>7684135.0099999998</v>
      </c>
      <c r="T934" s="197">
        <v>2022</v>
      </c>
      <c r="U934" s="197">
        <v>2022</v>
      </c>
    </row>
    <row r="935" spans="1:22" s="64" customFormat="1" ht="15.75">
      <c r="A935" s="182">
        <f t="shared" si="176"/>
        <v>229</v>
      </c>
      <c r="B935" s="186" t="s">
        <v>982</v>
      </c>
      <c r="C935" s="190">
        <v>1985</v>
      </c>
      <c r="D935" s="182"/>
      <c r="E935" s="182"/>
      <c r="F935" s="180">
        <v>5200</v>
      </c>
      <c r="G935" s="180">
        <v>5196.8</v>
      </c>
      <c r="H935" s="1">
        <f t="shared" ref="H935:H975" si="177">I935+J935+K935+L935+M935+N935+O935</f>
        <v>7447596.4900000002</v>
      </c>
      <c r="I935" s="1">
        <v>7075596.4900000002</v>
      </c>
      <c r="J935" s="1"/>
      <c r="K935" s="1"/>
      <c r="L935" s="1"/>
      <c r="M935" s="1"/>
      <c r="N935" s="1"/>
      <c r="O935" s="1">
        <v>372000</v>
      </c>
      <c r="P935" s="1"/>
      <c r="Q935" s="1">
        <f>H935</f>
        <v>7447596.4900000002</v>
      </c>
      <c r="R935" s="1"/>
      <c r="S935" s="1"/>
      <c r="T935" s="182">
        <v>2022</v>
      </c>
      <c r="U935" s="182">
        <v>2022</v>
      </c>
      <c r="V935" s="52"/>
    </row>
    <row r="936" spans="1:22" ht="15.75">
      <c r="A936" s="204">
        <f t="shared" ref="A936:A975" si="178">A935+1</f>
        <v>230</v>
      </c>
      <c r="B936" s="202" t="s">
        <v>721</v>
      </c>
      <c r="C936" s="203">
        <v>1956</v>
      </c>
      <c r="D936" s="204"/>
      <c r="E936" s="204"/>
      <c r="F936" s="205">
        <v>3169.3</v>
      </c>
      <c r="G936" s="205">
        <v>2975.7</v>
      </c>
      <c r="H936" s="7">
        <f t="shared" si="177"/>
        <v>12130083.6</v>
      </c>
      <c r="I936" s="10">
        <v>0</v>
      </c>
      <c r="J936" s="10">
        <v>0</v>
      </c>
      <c r="K936" s="9">
        <f>ROUND(3855.19*G936*1.015,2)</f>
        <v>11643967.220000001</v>
      </c>
      <c r="L936" s="10">
        <v>0</v>
      </c>
      <c r="M936" s="10">
        <v>0</v>
      </c>
      <c r="N936" s="10">
        <v>0</v>
      </c>
      <c r="O936" s="9">
        <v>486116.38</v>
      </c>
      <c r="P936" s="10">
        <v>0</v>
      </c>
      <c r="Q936" s="10">
        <v>0</v>
      </c>
      <c r="R936" s="10">
        <v>0</v>
      </c>
      <c r="S936" s="9">
        <f>H936</f>
        <v>12130083.6</v>
      </c>
      <c r="T936" s="204">
        <v>2020</v>
      </c>
      <c r="U936" s="204">
        <v>2022</v>
      </c>
    </row>
    <row r="937" spans="1:22" ht="15.75">
      <c r="A937" s="197">
        <f t="shared" si="178"/>
        <v>231</v>
      </c>
      <c r="B937" s="186" t="s">
        <v>1042</v>
      </c>
      <c r="C937" s="190">
        <v>1957</v>
      </c>
      <c r="D937" s="182"/>
      <c r="E937" s="182"/>
      <c r="F937" s="180">
        <v>11300.7</v>
      </c>
      <c r="G937" s="180">
        <v>10366.1</v>
      </c>
      <c r="H937" s="7">
        <f t="shared" si="177"/>
        <v>42889970.43</v>
      </c>
      <c r="I937" s="3">
        <v>0</v>
      </c>
      <c r="J937" s="3">
        <v>0</v>
      </c>
      <c r="K937" s="1">
        <f>ROUND(G937*3855.19*1.015,2)</f>
        <v>40562734.329999998</v>
      </c>
      <c r="L937" s="3">
        <v>0</v>
      </c>
      <c r="M937" s="3">
        <v>0</v>
      </c>
      <c r="N937" s="3">
        <v>0</v>
      </c>
      <c r="O937" s="1">
        <v>2327236.1</v>
      </c>
      <c r="P937" s="3">
        <v>0</v>
      </c>
      <c r="Q937" s="3">
        <v>0</v>
      </c>
      <c r="R937" s="3">
        <v>0</v>
      </c>
      <c r="S937" s="1">
        <f>H937</f>
        <v>42889970.43</v>
      </c>
      <c r="T937" s="182">
        <v>2022</v>
      </c>
      <c r="U937" s="182">
        <v>2022</v>
      </c>
    </row>
    <row r="938" spans="1:22" ht="15.75">
      <c r="A938" s="197">
        <f t="shared" si="178"/>
        <v>232</v>
      </c>
      <c r="B938" s="186" t="s">
        <v>492</v>
      </c>
      <c r="C938" s="190">
        <v>1951</v>
      </c>
      <c r="D938" s="182"/>
      <c r="E938" s="182"/>
      <c r="F938" s="180">
        <v>954.8</v>
      </c>
      <c r="G938" s="180">
        <v>954.8</v>
      </c>
      <c r="H938" s="2">
        <f t="shared" si="177"/>
        <v>16255030.98</v>
      </c>
      <c r="I938" s="3">
        <v>0</v>
      </c>
      <c r="J938" s="3">
        <v>0</v>
      </c>
      <c r="K938" s="1">
        <v>8378360.1200000001</v>
      </c>
      <c r="L938" s="3">
        <v>0</v>
      </c>
      <c r="M938" s="3">
        <v>6280782.7699999996</v>
      </c>
      <c r="N938" s="3">
        <v>1353252.89</v>
      </c>
      <c r="O938" s="1">
        <v>242635.2</v>
      </c>
      <c r="P938" s="3">
        <v>0</v>
      </c>
      <c r="Q938" s="3">
        <f>O938+N938</f>
        <v>1595888.09</v>
      </c>
      <c r="R938" s="3">
        <v>0</v>
      </c>
      <c r="S938" s="1">
        <f>H938-1595888.09</f>
        <v>14659142.890000001</v>
      </c>
      <c r="T938" s="182">
        <v>2022</v>
      </c>
      <c r="U938" s="182" t="s">
        <v>814</v>
      </c>
    </row>
    <row r="939" spans="1:22" ht="15.75">
      <c r="A939" s="182">
        <f t="shared" si="178"/>
        <v>233</v>
      </c>
      <c r="B939" s="186" t="s">
        <v>219</v>
      </c>
      <c r="C939" s="190">
        <v>1951</v>
      </c>
      <c r="D939" s="182"/>
      <c r="E939" s="182"/>
      <c r="F939" s="180">
        <v>1914.5</v>
      </c>
      <c r="G939" s="180">
        <v>1905.9</v>
      </c>
      <c r="H939" s="2">
        <f t="shared" si="177"/>
        <v>10675374.060000001</v>
      </c>
      <c r="I939" s="3">
        <v>0</v>
      </c>
      <c r="J939" s="3">
        <v>0</v>
      </c>
      <c r="K939" s="1">
        <v>0</v>
      </c>
      <c r="L939" s="3">
        <v>0</v>
      </c>
      <c r="M939" s="3">
        <v>7432827.1299999999</v>
      </c>
      <c r="N939" s="3">
        <v>2196437.59</v>
      </c>
      <c r="O939" s="1">
        <f>619835.74+426273.6</f>
        <v>1046109.34</v>
      </c>
      <c r="P939" s="3">
        <v>0</v>
      </c>
      <c r="Q939" s="3">
        <v>2622711.19</v>
      </c>
      <c r="R939" s="3">
        <v>0</v>
      </c>
      <c r="S939" s="1">
        <f>H939-Q939</f>
        <v>8052662.8700000001</v>
      </c>
      <c r="T939" s="182">
        <v>2022</v>
      </c>
      <c r="U939" s="182">
        <v>2023</v>
      </c>
    </row>
    <row r="940" spans="1:22" ht="15.75">
      <c r="A940" s="182">
        <f t="shared" si="178"/>
        <v>234</v>
      </c>
      <c r="B940" s="186" t="s">
        <v>722</v>
      </c>
      <c r="C940" s="190">
        <v>1955</v>
      </c>
      <c r="D940" s="182"/>
      <c r="E940" s="182"/>
      <c r="F940" s="180">
        <v>2701.9</v>
      </c>
      <c r="G940" s="180">
        <v>2507.1999999999998</v>
      </c>
      <c r="H940" s="2">
        <f t="shared" si="177"/>
        <v>16059022.689999999</v>
      </c>
      <c r="I940" s="3">
        <v>0</v>
      </c>
      <c r="J940" s="3">
        <v>0</v>
      </c>
      <c r="K940" s="1">
        <f>ROUND(G940*5975.33*1.015,2)</f>
        <v>15206067.59</v>
      </c>
      <c r="L940" s="3">
        <v>0</v>
      </c>
      <c r="M940" s="3">
        <v>0</v>
      </c>
      <c r="N940" s="3">
        <v>0</v>
      </c>
      <c r="O940" s="1">
        <v>852955.1</v>
      </c>
      <c r="P940" s="3">
        <v>0</v>
      </c>
      <c r="Q940" s="3">
        <v>0</v>
      </c>
      <c r="R940" s="3">
        <v>0</v>
      </c>
      <c r="S940" s="1">
        <f>H940</f>
        <v>16059022.689999999</v>
      </c>
      <c r="T940" s="182">
        <v>2022</v>
      </c>
      <c r="U940" s="182">
        <v>2022</v>
      </c>
    </row>
    <row r="941" spans="1:22" ht="15.75">
      <c r="A941" s="197">
        <f t="shared" si="178"/>
        <v>235</v>
      </c>
      <c r="B941" s="186" t="s">
        <v>723</v>
      </c>
      <c r="C941" s="190">
        <v>1956</v>
      </c>
      <c r="D941" s="182"/>
      <c r="E941" s="182"/>
      <c r="F941" s="180">
        <v>711.6</v>
      </c>
      <c r="G941" s="180">
        <v>664.3</v>
      </c>
      <c r="H941" s="2">
        <f t="shared" si="177"/>
        <v>4628156.51</v>
      </c>
      <c r="I941" s="3">
        <v>0</v>
      </c>
      <c r="J941" s="3">
        <v>0</v>
      </c>
      <c r="K941" s="1"/>
      <c r="L941" s="3">
        <v>0</v>
      </c>
      <c r="M941" s="3">
        <f>ROUND(G941*6480.9*1.015,2)</f>
        <v>4369840.8</v>
      </c>
      <c r="N941" s="3">
        <v>0</v>
      </c>
      <c r="O941" s="1">
        <v>258315.71</v>
      </c>
      <c r="P941" s="3">
        <v>0</v>
      </c>
      <c r="Q941" s="3">
        <v>0</v>
      </c>
      <c r="R941" s="3">
        <v>0</v>
      </c>
      <c r="S941" s="1">
        <f>H941</f>
        <v>4628156.51</v>
      </c>
      <c r="T941" s="182">
        <v>2022</v>
      </c>
      <c r="U941" s="182">
        <v>2022</v>
      </c>
    </row>
    <row r="942" spans="1:22" ht="15.75">
      <c r="A942" s="182">
        <f t="shared" si="178"/>
        <v>236</v>
      </c>
      <c r="B942" s="186" t="s">
        <v>1011</v>
      </c>
      <c r="C942" s="190" t="s">
        <v>926</v>
      </c>
      <c r="D942" s="182"/>
      <c r="E942" s="182"/>
      <c r="F942" s="180">
        <v>6414.5</v>
      </c>
      <c r="G942" s="180">
        <v>6414.6</v>
      </c>
      <c r="H942" s="2">
        <f t="shared" si="177"/>
        <v>40321588.439999998</v>
      </c>
      <c r="I942" s="3">
        <v>2356073.0499999998</v>
      </c>
      <c r="J942" s="3"/>
      <c r="K942" s="1">
        <v>15015079.529999999</v>
      </c>
      <c r="L942" s="3"/>
      <c r="M942" s="3">
        <v>20378836.43</v>
      </c>
      <c r="N942" s="3"/>
      <c r="O942" s="1">
        <v>2571599.4300000002</v>
      </c>
      <c r="P942" s="3"/>
      <c r="Q942" s="3">
        <f>O942+M942+K942+I942</f>
        <v>40321588.439999998</v>
      </c>
      <c r="R942" s="3"/>
      <c r="S942" s="1"/>
      <c r="T942" s="182">
        <v>2022</v>
      </c>
      <c r="U942" s="182" t="s">
        <v>1079</v>
      </c>
    </row>
    <row r="943" spans="1:22" ht="15.75">
      <c r="A943" s="197">
        <f t="shared" si="178"/>
        <v>237</v>
      </c>
      <c r="B943" s="186" t="s">
        <v>1012</v>
      </c>
      <c r="C943" s="190" t="s">
        <v>926</v>
      </c>
      <c r="D943" s="182"/>
      <c r="E943" s="182"/>
      <c r="F943" s="180">
        <v>5783</v>
      </c>
      <c r="G943" s="180">
        <v>5786.1</v>
      </c>
      <c r="H943" s="2">
        <f t="shared" si="177"/>
        <v>35717040.460000001</v>
      </c>
      <c r="I943" s="3">
        <v>2356073.0499999998</v>
      </c>
      <c r="J943" s="3"/>
      <c r="K943" s="1">
        <v>12705067.289999999</v>
      </c>
      <c r="L943" s="3"/>
      <c r="M943" s="3">
        <v>18382125.989999998</v>
      </c>
      <c r="N943" s="3"/>
      <c r="O943" s="1">
        <v>2273774.13</v>
      </c>
      <c r="P943" s="3"/>
      <c r="Q943" s="3">
        <f>O943+M943+K943+I943</f>
        <v>35717040.460000001</v>
      </c>
      <c r="R943" s="3"/>
      <c r="S943" s="1"/>
      <c r="T943" s="182">
        <v>2022</v>
      </c>
      <c r="U943" s="182" t="s">
        <v>1079</v>
      </c>
    </row>
    <row r="944" spans="1:22" ht="15.75">
      <c r="A944" s="182">
        <f t="shared" si="178"/>
        <v>238</v>
      </c>
      <c r="B944" s="186" t="s">
        <v>1013</v>
      </c>
      <c r="C944" s="190">
        <v>1967</v>
      </c>
      <c r="D944" s="182"/>
      <c r="E944" s="182"/>
      <c r="F944" s="180">
        <v>4906</v>
      </c>
      <c r="G944" s="180">
        <v>4906</v>
      </c>
      <c r="H944" s="2">
        <f t="shared" si="177"/>
        <v>28867927.890000001</v>
      </c>
      <c r="I944" s="3"/>
      <c r="J944" s="3"/>
      <c r="K944" s="1">
        <v>11414646.66</v>
      </c>
      <c r="L944" s="3"/>
      <c r="M944" s="3">
        <v>15586096.02</v>
      </c>
      <c r="N944" s="3"/>
      <c r="O944" s="1">
        <v>1867185.21</v>
      </c>
      <c r="P944" s="3"/>
      <c r="Q944" s="3">
        <f t="shared" ref="Q944:Q950" si="179">H944</f>
        <v>28867927.890000001</v>
      </c>
      <c r="R944" s="3"/>
      <c r="S944" s="1"/>
      <c r="T944" s="182">
        <v>2022</v>
      </c>
      <c r="U944" s="182">
        <v>2023</v>
      </c>
    </row>
    <row r="945" spans="1:21" ht="15.75">
      <c r="A945" s="197">
        <f t="shared" si="178"/>
        <v>239</v>
      </c>
      <c r="B945" s="186" t="s">
        <v>983</v>
      </c>
      <c r="C945" s="190" t="s">
        <v>926</v>
      </c>
      <c r="D945" s="182"/>
      <c r="E945" s="182"/>
      <c r="F945" s="180">
        <v>2862.6</v>
      </c>
      <c r="G945" s="180">
        <v>2861.9</v>
      </c>
      <c r="H945" s="2">
        <f t="shared" si="177"/>
        <v>2479897.41</v>
      </c>
      <c r="I945" s="3">
        <v>2355897.41</v>
      </c>
      <c r="J945" s="3"/>
      <c r="K945" s="1"/>
      <c r="L945" s="3"/>
      <c r="M945" s="3"/>
      <c r="N945" s="3"/>
      <c r="O945" s="1">
        <v>124000</v>
      </c>
      <c r="P945" s="3"/>
      <c r="Q945" s="3">
        <f t="shared" si="179"/>
        <v>2479897.41</v>
      </c>
      <c r="R945" s="3"/>
      <c r="S945" s="1"/>
      <c r="T945" s="182">
        <v>2022</v>
      </c>
      <c r="U945" s="182">
        <v>2022</v>
      </c>
    </row>
    <row r="946" spans="1:21" ht="15.75">
      <c r="A946" s="197">
        <f t="shared" si="178"/>
        <v>240</v>
      </c>
      <c r="B946" s="186" t="s">
        <v>984</v>
      </c>
      <c r="C946" s="190" t="s">
        <v>926</v>
      </c>
      <c r="D946" s="182"/>
      <c r="E946" s="182"/>
      <c r="F946" s="180">
        <v>2983.4</v>
      </c>
      <c r="G946" s="180">
        <v>2983.1</v>
      </c>
      <c r="H946" s="2">
        <f t="shared" si="177"/>
        <v>2479897.41</v>
      </c>
      <c r="I946" s="3">
        <v>2355897.41</v>
      </c>
      <c r="J946" s="3"/>
      <c r="K946" s="1"/>
      <c r="L946" s="3"/>
      <c r="M946" s="3"/>
      <c r="N946" s="3"/>
      <c r="O946" s="1">
        <v>124000</v>
      </c>
      <c r="P946" s="3"/>
      <c r="Q946" s="3">
        <f t="shared" si="179"/>
        <v>2479897.41</v>
      </c>
      <c r="R946" s="3"/>
      <c r="S946" s="1"/>
      <c r="T946" s="182">
        <v>2022</v>
      </c>
      <c r="U946" s="182">
        <v>2022</v>
      </c>
    </row>
    <row r="947" spans="1:21" ht="15.75">
      <c r="A947" s="197">
        <f t="shared" si="178"/>
        <v>241</v>
      </c>
      <c r="B947" s="186" t="s">
        <v>1014</v>
      </c>
      <c r="C947" s="190">
        <v>1968</v>
      </c>
      <c r="D947" s="182"/>
      <c r="E947" s="182"/>
      <c r="F947" s="180">
        <v>6149.5</v>
      </c>
      <c r="G947" s="180">
        <v>6146.1</v>
      </c>
      <c r="H947" s="2">
        <f t="shared" si="177"/>
        <v>36300076.509999998</v>
      </c>
      <c r="I947" s="3">
        <v>2355897.41</v>
      </c>
      <c r="J947" s="3"/>
      <c r="K947" s="1">
        <v>12193648.91</v>
      </c>
      <c r="L947" s="3"/>
      <c r="M947" s="3">
        <v>19443019.739999998</v>
      </c>
      <c r="N947" s="3"/>
      <c r="O947" s="1">
        <v>2307510.4500000002</v>
      </c>
      <c r="P947" s="3"/>
      <c r="Q947" s="3">
        <f t="shared" si="179"/>
        <v>36300076.509999998</v>
      </c>
      <c r="R947" s="3"/>
      <c r="S947" s="1"/>
      <c r="T947" s="182">
        <v>2022</v>
      </c>
      <c r="U947" s="182" t="s">
        <v>1079</v>
      </c>
    </row>
    <row r="948" spans="1:21" ht="15.75">
      <c r="A948" s="197">
        <f t="shared" si="178"/>
        <v>242</v>
      </c>
      <c r="B948" s="186" t="s">
        <v>985</v>
      </c>
      <c r="C948" s="190">
        <v>1968</v>
      </c>
      <c r="D948" s="182"/>
      <c r="E948" s="182"/>
      <c r="F948" s="180">
        <v>3032.2</v>
      </c>
      <c r="G948" s="180">
        <v>3057.9</v>
      </c>
      <c r="H948" s="2">
        <f t="shared" si="177"/>
        <v>2479897.41</v>
      </c>
      <c r="I948" s="3">
        <v>2355897.41</v>
      </c>
      <c r="J948" s="3"/>
      <c r="K948" s="1"/>
      <c r="L948" s="3"/>
      <c r="M948" s="3"/>
      <c r="N948" s="3"/>
      <c r="O948" s="1">
        <v>124000</v>
      </c>
      <c r="P948" s="3"/>
      <c r="Q948" s="3">
        <f t="shared" si="179"/>
        <v>2479897.41</v>
      </c>
      <c r="R948" s="3"/>
      <c r="S948" s="1"/>
      <c r="T948" s="182">
        <v>2022</v>
      </c>
      <c r="U948" s="182">
        <v>2022</v>
      </c>
    </row>
    <row r="949" spans="1:21" ht="15.75">
      <c r="A949" s="182">
        <f t="shared" si="178"/>
        <v>243</v>
      </c>
      <c r="B949" s="186" t="s">
        <v>986</v>
      </c>
      <c r="C949" s="190">
        <v>1968</v>
      </c>
      <c r="D949" s="182"/>
      <c r="E949" s="182"/>
      <c r="F949" s="180">
        <v>2797.6</v>
      </c>
      <c r="G949" s="180">
        <v>2796.7</v>
      </c>
      <c r="H949" s="2">
        <f t="shared" si="177"/>
        <v>2479897.41</v>
      </c>
      <c r="I949" s="3">
        <v>2355897.41</v>
      </c>
      <c r="J949" s="3"/>
      <c r="K949" s="1"/>
      <c r="L949" s="3"/>
      <c r="M949" s="3"/>
      <c r="N949" s="3"/>
      <c r="O949" s="1">
        <v>124000</v>
      </c>
      <c r="P949" s="3"/>
      <c r="Q949" s="3">
        <f t="shared" si="179"/>
        <v>2479897.41</v>
      </c>
      <c r="R949" s="3"/>
      <c r="S949" s="1"/>
      <c r="T949" s="182">
        <v>2022</v>
      </c>
      <c r="U949" s="182">
        <v>2022</v>
      </c>
    </row>
    <row r="950" spans="1:21" ht="15.75">
      <c r="A950" s="197">
        <f t="shared" si="178"/>
        <v>244</v>
      </c>
      <c r="B950" s="186" t="s">
        <v>987</v>
      </c>
      <c r="C950" s="190">
        <v>1968</v>
      </c>
      <c r="D950" s="182"/>
      <c r="E950" s="182"/>
      <c r="F950" s="180">
        <v>3037.8</v>
      </c>
      <c r="G950" s="180">
        <v>3035.8</v>
      </c>
      <c r="H950" s="2">
        <f t="shared" si="177"/>
        <v>2479897.41</v>
      </c>
      <c r="I950" s="3">
        <v>2355897.41</v>
      </c>
      <c r="J950" s="3"/>
      <c r="K950" s="1"/>
      <c r="L950" s="3"/>
      <c r="M950" s="3"/>
      <c r="N950" s="3"/>
      <c r="O950" s="1">
        <v>124000</v>
      </c>
      <c r="P950" s="3"/>
      <c r="Q950" s="3">
        <f t="shared" si="179"/>
        <v>2479897.41</v>
      </c>
      <c r="R950" s="3"/>
      <c r="S950" s="1"/>
      <c r="T950" s="182">
        <v>2022</v>
      </c>
      <c r="U950" s="182">
        <v>2022</v>
      </c>
    </row>
    <row r="951" spans="1:21" ht="15.75">
      <c r="A951" s="182">
        <f t="shared" si="178"/>
        <v>245</v>
      </c>
      <c r="B951" s="186" t="s">
        <v>1015</v>
      </c>
      <c r="C951" s="190">
        <v>1968</v>
      </c>
      <c r="D951" s="182"/>
      <c r="E951" s="182"/>
      <c r="F951" s="180">
        <v>3961.2</v>
      </c>
      <c r="G951" s="180">
        <v>3941.6</v>
      </c>
      <c r="H951" s="2">
        <f t="shared" si="177"/>
        <v>25551313.699999999</v>
      </c>
      <c r="I951" s="3">
        <v>2355897.41</v>
      </c>
      <c r="J951" s="3"/>
      <c r="K951" s="1">
        <f>11062689.9+124000</f>
        <v>11186689.9</v>
      </c>
      <c r="L951" s="3"/>
      <c r="M951" s="3">
        <v>10522704.23</v>
      </c>
      <c r="N951" s="3"/>
      <c r="O951" s="1">
        <v>1486022.16</v>
      </c>
      <c r="P951" s="3"/>
      <c r="Q951" s="3">
        <f>O951+M951+K951+I951</f>
        <v>25551313.699999999</v>
      </c>
      <c r="R951" s="3"/>
      <c r="S951" s="1"/>
      <c r="T951" s="182">
        <v>2022</v>
      </c>
      <c r="U951" s="182" t="s">
        <v>1079</v>
      </c>
    </row>
    <row r="952" spans="1:21" ht="15.75">
      <c r="A952" s="197">
        <f t="shared" si="178"/>
        <v>246</v>
      </c>
      <c r="B952" s="186" t="s">
        <v>988</v>
      </c>
      <c r="C952" s="190">
        <v>1967</v>
      </c>
      <c r="D952" s="182"/>
      <c r="E952" s="182"/>
      <c r="F952" s="180" t="s">
        <v>999</v>
      </c>
      <c r="G952" s="180">
        <v>2731</v>
      </c>
      <c r="H952" s="2">
        <f t="shared" si="177"/>
        <v>2479897.41</v>
      </c>
      <c r="I952" s="3">
        <v>2355897.41</v>
      </c>
      <c r="J952" s="3"/>
      <c r="K952" s="1"/>
      <c r="L952" s="3"/>
      <c r="M952" s="3"/>
      <c r="N952" s="3"/>
      <c r="O952" s="1">
        <v>124000</v>
      </c>
      <c r="P952" s="3"/>
      <c r="Q952" s="3">
        <f>H952</f>
        <v>2479897.41</v>
      </c>
      <c r="R952" s="3"/>
      <c r="S952" s="1"/>
      <c r="T952" s="182">
        <v>2022</v>
      </c>
      <c r="U952" s="182">
        <v>2022</v>
      </c>
    </row>
    <row r="953" spans="1:21" ht="15.75">
      <c r="A953" s="182">
        <f t="shared" si="178"/>
        <v>247</v>
      </c>
      <c r="B953" s="186" t="s">
        <v>496</v>
      </c>
      <c r="C953" s="190">
        <v>1968</v>
      </c>
      <c r="D953" s="182"/>
      <c r="E953" s="182"/>
      <c r="F953" s="180">
        <v>3942.7</v>
      </c>
      <c r="G953" s="180">
        <v>3942.7</v>
      </c>
      <c r="H953" s="2">
        <f t="shared" si="177"/>
        <v>22914076.629999999</v>
      </c>
      <c r="I953" s="3"/>
      <c r="J953" s="3"/>
      <c r="K953" s="1">
        <v>8452543.7400000002</v>
      </c>
      <c r="L953" s="3"/>
      <c r="M953" s="3">
        <v>12985810.48</v>
      </c>
      <c r="N953" s="3"/>
      <c r="O953" s="1">
        <v>1475722.41</v>
      </c>
      <c r="P953" s="3"/>
      <c r="Q953" s="3">
        <f>O953+M953+K953</f>
        <v>22914076.629999999</v>
      </c>
      <c r="R953" s="3"/>
      <c r="S953" s="1"/>
      <c r="T953" s="182">
        <v>2022</v>
      </c>
      <c r="U953" s="182">
        <v>2023</v>
      </c>
    </row>
    <row r="954" spans="1:21" ht="15.75">
      <c r="A954" s="197">
        <f t="shared" si="178"/>
        <v>248</v>
      </c>
      <c r="B954" s="186" t="s">
        <v>989</v>
      </c>
      <c r="C954" s="190">
        <v>1967</v>
      </c>
      <c r="D954" s="182"/>
      <c r="E954" s="182"/>
      <c r="F954" s="180" t="s">
        <v>1000</v>
      </c>
      <c r="G954" s="180">
        <v>2735.2</v>
      </c>
      <c r="H954" s="2">
        <f t="shared" si="177"/>
        <v>2479897.41</v>
      </c>
      <c r="I954" s="3">
        <v>2355897.41</v>
      </c>
      <c r="J954" s="3"/>
      <c r="K954" s="1"/>
      <c r="L954" s="3"/>
      <c r="M954" s="3"/>
      <c r="N954" s="3"/>
      <c r="O954" s="1">
        <v>124000</v>
      </c>
      <c r="P954" s="3"/>
      <c r="Q954" s="3">
        <f t="shared" ref="Q954:Q963" si="180">H954</f>
        <v>2479897.41</v>
      </c>
      <c r="R954" s="3"/>
      <c r="S954" s="1"/>
      <c r="T954" s="182">
        <v>2022</v>
      </c>
      <c r="U954" s="182">
        <v>2022</v>
      </c>
    </row>
    <row r="955" spans="1:21" ht="15.75">
      <c r="A955" s="197">
        <f t="shared" si="178"/>
        <v>249</v>
      </c>
      <c r="B955" s="186" t="s">
        <v>990</v>
      </c>
      <c r="C955" s="190">
        <v>1967</v>
      </c>
      <c r="D955" s="182"/>
      <c r="E955" s="182"/>
      <c r="F955" s="180">
        <v>4451.8</v>
      </c>
      <c r="G955" s="180">
        <v>4447.2</v>
      </c>
      <c r="H955" s="2">
        <f t="shared" si="177"/>
        <v>2479897.41</v>
      </c>
      <c r="I955" s="3">
        <v>2355897.41</v>
      </c>
      <c r="J955" s="3"/>
      <c r="K955" s="1"/>
      <c r="L955" s="3"/>
      <c r="M955" s="3"/>
      <c r="N955" s="3"/>
      <c r="O955" s="1">
        <v>124000</v>
      </c>
      <c r="P955" s="3"/>
      <c r="Q955" s="3">
        <f t="shared" si="180"/>
        <v>2479897.41</v>
      </c>
      <c r="R955" s="3"/>
      <c r="S955" s="1"/>
      <c r="T955" s="182">
        <v>2022</v>
      </c>
      <c r="U955" s="182">
        <v>2022</v>
      </c>
    </row>
    <row r="956" spans="1:21" ht="15.75">
      <c r="A956" s="182">
        <f t="shared" si="178"/>
        <v>250</v>
      </c>
      <c r="B956" s="186" t="s">
        <v>991</v>
      </c>
      <c r="C956" s="190">
        <v>1968</v>
      </c>
      <c r="D956" s="182"/>
      <c r="E956" s="182"/>
      <c r="F956" s="180" t="s">
        <v>1001</v>
      </c>
      <c r="G956" s="180">
        <v>2968.6</v>
      </c>
      <c r="H956" s="2">
        <f t="shared" si="177"/>
        <v>2479897.41</v>
      </c>
      <c r="I956" s="3">
        <v>2355897.41</v>
      </c>
      <c r="J956" s="3"/>
      <c r="K956" s="1"/>
      <c r="L956" s="3"/>
      <c r="M956" s="3"/>
      <c r="N956" s="3"/>
      <c r="O956" s="1">
        <v>124000</v>
      </c>
      <c r="P956" s="3"/>
      <c r="Q956" s="3">
        <f t="shared" si="180"/>
        <v>2479897.41</v>
      </c>
      <c r="R956" s="3"/>
      <c r="S956" s="1"/>
      <c r="T956" s="182">
        <v>2022</v>
      </c>
      <c r="U956" s="182">
        <v>2022</v>
      </c>
    </row>
    <row r="957" spans="1:21" ht="15.75">
      <c r="A957" s="197">
        <f t="shared" si="178"/>
        <v>251</v>
      </c>
      <c r="B957" s="186" t="s">
        <v>992</v>
      </c>
      <c r="C957" s="190">
        <v>1969</v>
      </c>
      <c r="D957" s="182"/>
      <c r="E957" s="182"/>
      <c r="F957" s="180">
        <v>4473.7</v>
      </c>
      <c r="G957" s="180">
        <v>4473.8999999999996</v>
      </c>
      <c r="H957" s="2">
        <f t="shared" si="177"/>
        <v>2479897.41</v>
      </c>
      <c r="I957" s="3">
        <v>2355897.41</v>
      </c>
      <c r="J957" s="3"/>
      <c r="K957" s="1"/>
      <c r="L957" s="3"/>
      <c r="M957" s="3"/>
      <c r="N957" s="3"/>
      <c r="O957" s="1">
        <v>124000</v>
      </c>
      <c r="P957" s="3"/>
      <c r="Q957" s="3">
        <f t="shared" si="180"/>
        <v>2479897.41</v>
      </c>
      <c r="R957" s="3"/>
      <c r="S957" s="1"/>
      <c r="T957" s="182">
        <v>2022</v>
      </c>
      <c r="U957" s="182">
        <v>2022</v>
      </c>
    </row>
    <row r="958" spans="1:21" ht="15.75">
      <c r="A958" s="182">
        <f t="shared" si="178"/>
        <v>252</v>
      </c>
      <c r="B958" s="186" t="s">
        <v>993</v>
      </c>
      <c r="C958" s="190">
        <v>1970</v>
      </c>
      <c r="D958" s="182"/>
      <c r="E958" s="182"/>
      <c r="F958" s="180">
        <v>6455.9</v>
      </c>
      <c r="G958" s="180">
        <v>6419.9</v>
      </c>
      <c r="H958" s="2">
        <f t="shared" si="177"/>
        <v>2479897.41</v>
      </c>
      <c r="I958" s="3">
        <v>2355897.41</v>
      </c>
      <c r="J958" s="3"/>
      <c r="K958" s="1"/>
      <c r="L958" s="3"/>
      <c r="M958" s="3"/>
      <c r="N958" s="3"/>
      <c r="O958" s="1">
        <v>124000</v>
      </c>
      <c r="P958" s="3"/>
      <c r="Q958" s="3">
        <f t="shared" si="180"/>
        <v>2479897.41</v>
      </c>
      <c r="R958" s="3"/>
      <c r="S958" s="1"/>
      <c r="T958" s="182">
        <v>2022</v>
      </c>
      <c r="U958" s="182">
        <v>2022</v>
      </c>
    </row>
    <row r="959" spans="1:21" ht="15.75">
      <c r="A959" s="197">
        <f t="shared" si="178"/>
        <v>253</v>
      </c>
      <c r="B959" s="186" t="s">
        <v>994</v>
      </c>
      <c r="C959" s="190">
        <v>1971</v>
      </c>
      <c r="D959" s="182"/>
      <c r="E959" s="182"/>
      <c r="F959" s="180">
        <v>5039.2</v>
      </c>
      <c r="G959" s="180">
        <v>5039</v>
      </c>
      <c r="H959" s="2">
        <f t="shared" si="177"/>
        <v>2479897.4</v>
      </c>
      <c r="I959" s="3">
        <v>2355897.4</v>
      </c>
      <c r="J959" s="3"/>
      <c r="K959" s="1"/>
      <c r="L959" s="3"/>
      <c r="M959" s="3"/>
      <c r="N959" s="3"/>
      <c r="O959" s="1">
        <v>124000</v>
      </c>
      <c r="P959" s="3"/>
      <c r="Q959" s="3">
        <f t="shared" si="180"/>
        <v>2479897.4</v>
      </c>
      <c r="R959" s="3"/>
      <c r="S959" s="1"/>
      <c r="T959" s="182">
        <v>2022</v>
      </c>
      <c r="U959" s="182">
        <v>2022</v>
      </c>
    </row>
    <row r="960" spans="1:21" ht="15.75">
      <c r="A960" s="182">
        <f t="shared" si="178"/>
        <v>254</v>
      </c>
      <c r="B960" s="186" t="s">
        <v>995</v>
      </c>
      <c r="C960" s="190" t="s">
        <v>358</v>
      </c>
      <c r="D960" s="182"/>
      <c r="E960" s="182"/>
      <c r="F960" s="180">
        <v>3207.2</v>
      </c>
      <c r="G960" s="180">
        <v>3206.6</v>
      </c>
      <c r="H960" s="2">
        <f t="shared" si="177"/>
        <v>2479897.41</v>
      </c>
      <c r="I960" s="3">
        <v>2355897.41</v>
      </c>
      <c r="J960" s="3"/>
      <c r="K960" s="1"/>
      <c r="L960" s="3"/>
      <c r="M960" s="3"/>
      <c r="N960" s="3"/>
      <c r="O960" s="1">
        <v>124000</v>
      </c>
      <c r="P960" s="3"/>
      <c r="Q960" s="3">
        <f t="shared" si="180"/>
        <v>2479897.41</v>
      </c>
      <c r="R960" s="3"/>
      <c r="S960" s="1"/>
      <c r="T960" s="182">
        <v>2022</v>
      </c>
      <c r="U960" s="182">
        <v>2022</v>
      </c>
    </row>
    <row r="961" spans="1:21" ht="15.75">
      <c r="A961" s="197">
        <f t="shared" si="178"/>
        <v>255</v>
      </c>
      <c r="B961" s="186" t="s">
        <v>996</v>
      </c>
      <c r="C961" s="190">
        <v>1971</v>
      </c>
      <c r="D961" s="182"/>
      <c r="E961" s="182"/>
      <c r="F961" s="180">
        <v>3039.1</v>
      </c>
      <c r="G961" s="180">
        <v>3043.4</v>
      </c>
      <c r="H961" s="2">
        <f t="shared" si="177"/>
        <v>2479897.4</v>
      </c>
      <c r="I961" s="3">
        <v>2355897.4</v>
      </c>
      <c r="J961" s="3"/>
      <c r="K961" s="1"/>
      <c r="L961" s="3"/>
      <c r="M961" s="3"/>
      <c r="N961" s="3"/>
      <c r="O961" s="1">
        <v>124000</v>
      </c>
      <c r="P961" s="3"/>
      <c r="Q961" s="3">
        <f t="shared" si="180"/>
        <v>2479897.4</v>
      </c>
      <c r="R961" s="3"/>
      <c r="S961" s="1"/>
      <c r="T961" s="182">
        <v>2022</v>
      </c>
      <c r="U961" s="182">
        <v>2022</v>
      </c>
    </row>
    <row r="962" spans="1:21" ht="15.75">
      <c r="A962" s="182">
        <f t="shared" si="178"/>
        <v>256</v>
      </c>
      <c r="B962" s="186" t="s">
        <v>997</v>
      </c>
      <c r="C962" s="190">
        <v>1971</v>
      </c>
      <c r="D962" s="182"/>
      <c r="E962" s="182"/>
      <c r="F962" s="180">
        <v>3349.8</v>
      </c>
      <c r="G962" s="180">
        <v>3348.1</v>
      </c>
      <c r="H962" s="2">
        <f t="shared" si="177"/>
        <v>2479897.4</v>
      </c>
      <c r="I962" s="3">
        <v>2355897.4</v>
      </c>
      <c r="J962" s="3"/>
      <c r="K962" s="1"/>
      <c r="L962" s="3"/>
      <c r="M962" s="3"/>
      <c r="N962" s="3"/>
      <c r="O962" s="1">
        <v>124000</v>
      </c>
      <c r="P962" s="3"/>
      <c r="Q962" s="3">
        <f t="shared" si="180"/>
        <v>2479897.4</v>
      </c>
      <c r="R962" s="3"/>
      <c r="S962" s="1"/>
      <c r="T962" s="182">
        <v>2022</v>
      </c>
      <c r="U962" s="182">
        <v>2022</v>
      </c>
    </row>
    <row r="963" spans="1:21" ht="15.75">
      <c r="A963" s="197">
        <f t="shared" si="178"/>
        <v>257</v>
      </c>
      <c r="B963" s="186" t="s">
        <v>998</v>
      </c>
      <c r="C963" s="190">
        <v>1971</v>
      </c>
      <c r="D963" s="182"/>
      <c r="E963" s="182"/>
      <c r="F963" s="180">
        <v>5400.7</v>
      </c>
      <c r="G963" s="180">
        <v>5399.4</v>
      </c>
      <c r="H963" s="2">
        <f t="shared" si="177"/>
        <v>4959794.79</v>
      </c>
      <c r="I963" s="3">
        <v>4711794.79</v>
      </c>
      <c r="J963" s="3"/>
      <c r="K963" s="1"/>
      <c r="L963" s="3"/>
      <c r="M963" s="3"/>
      <c r="N963" s="3"/>
      <c r="O963" s="1">
        <v>248000</v>
      </c>
      <c r="P963" s="3"/>
      <c r="Q963" s="3">
        <f t="shared" si="180"/>
        <v>4959794.79</v>
      </c>
      <c r="R963" s="3"/>
      <c r="S963" s="1"/>
      <c r="T963" s="182">
        <v>2022</v>
      </c>
      <c r="U963" s="182">
        <v>2022</v>
      </c>
    </row>
    <row r="964" spans="1:21" ht="15.75" customHeight="1">
      <c r="A964" s="182">
        <f t="shared" si="178"/>
        <v>258</v>
      </c>
      <c r="B964" s="186" t="s">
        <v>724</v>
      </c>
      <c r="C964" s="190">
        <v>1971</v>
      </c>
      <c r="D964" s="182"/>
      <c r="E964" s="182"/>
      <c r="F964" s="180">
        <v>2745.7</v>
      </c>
      <c r="G964" s="180">
        <v>2728.5</v>
      </c>
      <c r="H964" s="2">
        <f t="shared" si="177"/>
        <v>27419420.710000001</v>
      </c>
      <c r="I964" s="3">
        <f>ROUND(G964*(616.25+3349.66+650.2+643.1+644.55)*1.015,2)+0.01</f>
        <v>16350035.310000001</v>
      </c>
      <c r="J964" s="3">
        <v>0</v>
      </c>
      <c r="K964" s="1">
        <f>ROUND(G964*3517.2*1.015,2)</f>
        <v>9740630.4000000004</v>
      </c>
      <c r="L964" s="3">
        <v>0</v>
      </c>
      <c r="M964" s="3">
        <v>0</v>
      </c>
      <c r="N964" s="3">
        <v>0</v>
      </c>
      <c r="O964" s="1">
        <f>832680.6+496074.4</f>
        <v>1328755</v>
      </c>
      <c r="P964" s="3">
        <v>0</v>
      </c>
      <c r="Q964" s="3">
        <v>0</v>
      </c>
      <c r="R964" s="3">
        <v>0</v>
      </c>
      <c r="S964" s="1">
        <f>H964</f>
        <v>27419420.710000001</v>
      </c>
      <c r="T964" s="182">
        <v>2022</v>
      </c>
      <c r="U964" s="182">
        <v>2023</v>
      </c>
    </row>
    <row r="965" spans="1:21" ht="15.75">
      <c r="A965" s="197">
        <f t="shared" si="178"/>
        <v>259</v>
      </c>
      <c r="B965" s="186" t="s">
        <v>725</v>
      </c>
      <c r="C965" s="190">
        <v>1966</v>
      </c>
      <c r="D965" s="182"/>
      <c r="E965" s="182"/>
      <c r="F965" s="180">
        <v>2155</v>
      </c>
      <c r="G965" s="180">
        <v>1976</v>
      </c>
      <c r="H965" s="2">
        <f t="shared" si="177"/>
        <v>9371520.8300000001</v>
      </c>
      <c r="I965" s="3">
        <v>0</v>
      </c>
      <c r="J965" s="3">
        <v>0</v>
      </c>
      <c r="K965" s="1">
        <v>8432162.1600000001</v>
      </c>
      <c r="L965" s="3">
        <v>0</v>
      </c>
      <c r="M965" s="3">
        <v>0</v>
      </c>
      <c r="N965" s="3">
        <v>0</v>
      </c>
      <c r="O965" s="1">
        <v>939358.67</v>
      </c>
      <c r="P965" s="3">
        <v>0</v>
      </c>
      <c r="Q965" s="3">
        <v>0</v>
      </c>
      <c r="R965" s="3">
        <v>0</v>
      </c>
      <c r="S965" s="1">
        <f>H965</f>
        <v>9371520.8300000001</v>
      </c>
      <c r="T965" s="182">
        <v>2022</v>
      </c>
      <c r="U965" s="182">
        <v>2023</v>
      </c>
    </row>
    <row r="966" spans="1:21" ht="15.75">
      <c r="A966" s="182">
        <f t="shared" si="178"/>
        <v>260</v>
      </c>
      <c r="B966" s="186" t="s">
        <v>726</v>
      </c>
      <c r="C966" s="190">
        <v>1950</v>
      </c>
      <c r="D966" s="182"/>
      <c r="E966" s="182"/>
      <c r="F966" s="180">
        <v>4034.6</v>
      </c>
      <c r="G966" s="180">
        <v>3707.4</v>
      </c>
      <c r="H966" s="4">
        <f t="shared" si="177"/>
        <v>11540815.630000001</v>
      </c>
      <c r="I966" s="5">
        <v>10861387.85</v>
      </c>
      <c r="J966" s="5">
        <v>0</v>
      </c>
      <c r="K966" s="6">
        <v>0</v>
      </c>
      <c r="L966" s="5">
        <v>0</v>
      </c>
      <c r="M966" s="5">
        <v>0</v>
      </c>
      <c r="N966" s="5">
        <v>0</v>
      </c>
      <c r="O966" s="6">
        <v>679427.78</v>
      </c>
      <c r="P966" s="5">
        <v>0</v>
      </c>
      <c r="Q966" s="5">
        <v>0</v>
      </c>
      <c r="R966" s="5">
        <v>0</v>
      </c>
      <c r="S966" s="1">
        <f>H966</f>
        <v>11540815.630000001</v>
      </c>
      <c r="T966" s="182">
        <v>2020</v>
      </c>
      <c r="U966" s="182">
        <v>2022</v>
      </c>
    </row>
    <row r="967" spans="1:21" ht="15.75">
      <c r="A967" s="182">
        <f t="shared" si="178"/>
        <v>261</v>
      </c>
      <c r="B967" s="186" t="s">
        <v>727</v>
      </c>
      <c r="C967" s="190">
        <v>1962</v>
      </c>
      <c r="D967" s="182"/>
      <c r="E967" s="182"/>
      <c r="F967" s="180">
        <v>3099.1</v>
      </c>
      <c r="G967" s="180">
        <v>2861.5</v>
      </c>
      <c r="H967" s="1">
        <f t="shared" si="177"/>
        <v>17109574.030000001</v>
      </c>
      <c r="I967" s="1">
        <v>0</v>
      </c>
      <c r="J967" s="1">
        <v>0</v>
      </c>
      <c r="K967" s="1">
        <f>ROUND(G967*2343.819845*1.015,2)</f>
        <v>6807443.0899999999</v>
      </c>
      <c r="L967" s="1">
        <v>0</v>
      </c>
      <c r="M967" s="1">
        <f>ROUND(G967*3170.13*1.015,2)</f>
        <v>9207396.9000000004</v>
      </c>
      <c r="N967" s="1">
        <v>0</v>
      </c>
      <c r="O967" s="1">
        <f>612022.1+482711.94</f>
        <v>1094734.04</v>
      </c>
      <c r="P967" s="1">
        <v>0</v>
      </c>
      <c r="Q967" s="1">
        <v>0</v>
      </c>
      <c r="R967" s="1">
        <v>0</v>
      </c>
      <c r="S967" s="1">
        <f>H967</f>
        <v>17109574.030000001</v>
      </c>
      <c r="T967" s="182">
        <v>2022</v>
      </c>
      <c r="U967" s="182">
        <v>2023</v>
      </c>
    </row>
    <row r="968" spans="1:21" ht="15.75">
      <c r="A968" s="182">
        <f t="shared" si="178"/>
        <v>262</v>
      </c>
      <c r="B968" s="186" t="s">
        <v>1002</v>
      </c>
      <c r="C968" s="190">
        <v>1966</v>
      </c>
      <c r="D968" s="182"/>
      <c r="E968" s="182"/>
      <c r="F968" s="180">
        <v>3027.4</v>
      </c>
      <c r="G968" s="180">
        <v>2719.1</v>
      </c>
      <c r="H968" s="1">
        <f t="shared" si="177"/>
        <v>2482532.17</v>
      </c>
      <c r="I968" s="1">
        <v>2358532.17</v>
      </c>
      <c r="J968" s="1"/>
      <c r="K968" s="1"/>
      <c r="L968" s="1"/>
      <c r="M968" s="1"/>
      <c r="N968" s="1"/>
      <c r="O968" s="1">
        <v>124000</v>
      </c>
      <c r="P968" s="1"/>
      <c r="Q968" s="1">
        <f>H968</f>
        <v>2482532.17</v>
      </c>
      <c r="R968" s="1"/>
      <c r="S968" s="1"/>
      <c r="T968" s="182">
        <v>2022</v>
      </c>
      <c r="U968" s="182">
        <v>2022</v>
      </c>
    </row>
    <row r="969" spans="1:21" ht="15.75">
      <c r="A969" s="182">
        <f t="shared" si="178"/>
        <v>263</v>
      </c>
      <c r="B969" s="186" t="s">
        <v>1003</v>
      </c>
      <c r="C969" s="190">
        <v>1966</v>
      </c>
      <c r="D969" s="182"/>
      <c r="E969" s="182"/>
      <c r="F969" s="180">
        <v>2730.5</v>
      </c>
      <c r="G969" s="180">
        <v>2730.6</v>
      </c>
      <c r="H969" s="1">
        <f t="shared" si="177"/>
        <v>2482532.17</v>
      </c>
      <c r="I969" s="1">
        <v>2358532.17</v>
      </c>
      <c r="J969" s="1"/>
      <c r="K969" s="1"/>
      <c r="L969" s="1"/>
      <c r="M969" s="1"/>
      <c r="N969" s="1"/>
      <c r="O969" s="1">
        <v>124000</v>
      </c>
      <c r="P969" s="1"/>
      <c r="Q969" s="1">
        <f>H969</f>
        <v>2482532.17</v>
      </c>
      <c r="R969" s="1"/>
      <c r="S969" s="1"/>
      <c r="T969" s="182">
        <v>2022</v>
      </c>
      <c r="U969" s="182">
        <v>2022</v>
      </c>
    </row>
    <row r="970" spans="1:21" ht="15.75">
      <c r="A970" s="182">
        <f t="shared" si="178"/>
        <v>264</v>
      </c>
      <c r="B970" s="186" t="s">
        <v>1004</v>
      </c>
      <c r="C970" s="190">
        <v>1966</v>
      </c>
      <c r="D970" s="182"/>
      <c r="E970" s="182"/>
      <c r="F970" s="180">
        <v>2719.5</v>
      </c>
      <c r="G970" s="180">
        <v>2719.3</v>
      </c>
      <c r="H970" s="1">
        <f t="shared" si="177"/>
        <v>2480073.0499999998</v>
      </c>
      <c r="I970" s="1">
        <v>2356073.0499999998</v>
      </c>
      <c r="J970" s="1"/>
      <c r="K970" s="1"/>
      <c r="L970" s="1"/>
      <c r="M970" s="1"/>
      <c r="N970" s="1"/>
      <c r="O970" s="1">
        <v>124000</v>
      </c>
      <c r="P970" s="1"/>
      <c r="Q970" s="1">
        <f>H970</f>
        <v>2480073.0499999998</v>
      </c>
      <c r="R970" s="1"/>
      <c r="S970" s="1"/>
      <c r="T970" s="182">
        <v>2022</v>
      </c>
      <c r="U970" s="182">
        <v>2022</v>
      </c>
    </row>
    <row r="971" spans="1:21" ht="15.75">
      <c r="A971" s="182">
        <f t="shared" si="178"/>
        <v>265</v>
      </c>
      <c r="B971" s="186" t="s">
        <v>1064</v>
      </c>
      <c r="C971" s="190">
        <v>1970</v>
      </c>
      <c r="D971" s="182"/>
      <c r="E971" s="182"/>
      <c r="F971" s="180">
        <v>4182.8999999999996</v>
      </c>
      <c r="G971" s="180">
        <v>4182.8999999999996</v>
      </c>
      <c r="H971" s="1">
        <f t="shared" si="177"/>
        <v>16239097.15</v>
      </c>
      <c r="I971" s="1"/>
      <c r="J971" s="1"/>
      <c r="K971" s="1">
        <v>15477581.58</v>
      </c>
      <c r="L971" s="1"/>
      <c r="M971" s="1"/>
      <c r="N971" s="1"/>
      <c r="O971" s="1">
        <v>761515.57</v>
      </c>
      <c r="P971" s="1"/>
      <c r="Q971" s="1">
        <f>H971</f>
        <v>16239097.15</v>
      </c>
      <c r="R971" s="1"/>
      <c r="S971" s="1"/>
      <c r="T971" s="182">
        <v>2022</v>
      </c>
      <c r="U971" s="182">
        <v>2023</v>
      </c>
    </row>
    <row r="972" spans="1:21" ht="15.75">
      <c r="A972" s="182">
        <f t="shared" si="178"/>
        <v>266</v>
      </c>
      <c r="B972" s="186" t="s">
        <v>1032</v>
      </c>
      <c r="C972" s="190">
        <v>1977</v>
      </c>
      <c r="D972" s="182"/>
      <c r="E972" s="182"/>
      <c r="F972" s="180">
        <v>4529.1000000000004</v>
      </c>
      <c r="G972" s="180">
        <v>4529.1000000000004</v>
      </c>
      <c r="H972" s="1">
        <f t="shared" si="177"/>
        <v>4434582.8600000003</v>
      </c>
      <c r="I972" s="1"/>
      <c r="J972" s="1">
        <v>4323718.29</v>
      </c>
      <c r="K972" s="1"/>
      <c r="L972" s="1"/>
      <c r="M972" s="1"/>
      <c r="N972" s="1"/>
      <c r="O972" s="1">
        <v>110864.57</v>
      </c>
      <c r="P972" s="1"/>
      <c r="Q972" s="1"/>
      <c r="R972" s="1"/>
      <c r="S972" s="1">
        <f>O972+J972</f>
        <v>4434582.8600000003</v>
      </c>
      <c r="T972" s="182">
        <v>2022</v>
      </c>
      <c r="U972" s="182">
        <v>2022</v>
      </c>
    </row>
    <row r="973" spans="1:21" ht="15.75">
      <c r="A973" s="182">
        <f t="shared" si="178"/>
        <v>267</v>
      </c>
      <c r="B973" s="186" t="s">
        <v>1033</v>
      </c>
      <c r="C973" s="190">
        <v>1976</v>
      </c>
      <c r="D973" s="182"/>
      <c r="E973" s="182"/>
      <c r="F973" s="180">
        <v>8913</v>
      </c>
      <c r="G973" s="180">
        <v>8913</v>
      </c>
      <c r="H973" s="1">
        <f t="shared" si="177"/>
        <v>8869165.7300000004</v>
      </c>
      <c r="I973" s="1"/>
      <c r="J973" s="1">
        <v>8647436.5899999999</v>
      </c>
      <c r="K973" s="1"/>
      <c r="L973" s="1"/>
      <c r="M973" s="1"/>
      <c r="N973" s="1"/>
      <c r="O973" s="1">
        <v>221729.14</v>
      </c>
      <c r="P973" s="1"/>
      <c r="Q973" s="1"/>
      <c r="R973" s="1"/>
      <c r="S973" s="1">
        <f>O973+J973</f>
        <v>8869165.7300000004</v>
      </c>
      <c r="T973" s="182">
        <v>2022</v>
      </c>
      <c r="U973" s="182">
        <v>2022</v>
      </c>
    </row>
    <row r="974" spans="1:21" ht="15.75">
      <c r="A974" s="182">
        <f t="shared" si="178"/>
        <v>268</v>
      </c>
      <c r="B974" s="186" t="s">
        <v>1034</v>
      </c>
      <c r="C974" s="190">
        <v>1976</v>
      </c>
      <c r="D974" s="182"/>
      <c r="E974" s="182"/>
      <c r="F974" s="180">
        <v>3099.1</v>
      </c>
      <c r="G974" s="180">
        <v>13691.3</v>
      </c>
      <c r="H974" s="1">
        <f t="shared" si="177"/>
        <v>11086457.15</v>
      </c>
      <c r="I974" s="1"/>
      <c r="J974" s="1">
        <v>10809295.73</v>
      </c>
      <c r="K974" s="1"/>
      <c r="L974" s="1"/>
      <c r="M974" s="1"/>
      <c r="N974" s="1"/>
      <c r="O974" s="1">
        <v>277161.42</v>
      </c>
      <c r="P974" s="1"/>
      <c r="Q974" s="1"/>
      <c r="R974" s="1"/>
      <c r="S974" s="1">
        <f>O974+J974</f>
        <v>11086457.15</v>
      </c>
      <c r="T974" s="182">
        <v>2022</v>
      </c>
      <c r="U974" s="182">
        <v>2022</v>
      </c>
    </row>
    <row r="975" spans="1:21" ht="15.75">
      <c r="A975" s="182">
        <f t="shared" si="178"/>
        <v>269</v>
      </c>
      <c r="B975" s="186" t="s">
        <v>1035</v>
      </c>
      <c r="C975" s="190">
        <v>1977</v>
      </c>
      <c r="D975" s="182"/>
      <c r="E975" s="182"/>
      <c r="F975" s="180">
        <v>1855</v>
      </c>
      <c r="G975" s="180">
        <v>1855</v>
      </c>
      <c r="H975" s="1">
        <f t="shared" si="177"/>
        <v>2217291.4300000002</v>
      </c>
      <c r="I975" s="1"/>
      <c r="J975" s="1">
        <v>2161859.15</v>
      </c>
      <c r="K975" s="1"/>
      <c r="L975" s="1"/>
      <c r="M975" s="1"/>
      <c r="N975" s="1"/>
      <c r="O975" s="1">
        <v>55432.28</v>
      </c>
      <c r="P975" s="1"/>
      <c r="Q975" s="1"/>
      <c r="R975" s="1"/>
      <c r="S975" s="1">
        <f>O975+J975</f>
        <v>2217291.4300000002</v>
      </c>
      <c r="T975" s="182">
        <v>2022</v>
      </c>
      <c r="U975" s="182">
        <v>2022</v>
      </c>
    </row>
    <row r="976" spans="1:21" ht="15.75">
      <c r="A976" s="287" t="s">
        <v>606</v>
      </c>
      <c r="B976" s="287"/>
      <c r="C976" s="190"/>
      <c r="D976" s="182"/>
      <c r="E976" s="182"/>
      <c r="F976" s="14">
        <f t="shared" ref="F976:S976" si="181">SUM(F761:F975)</f>
        <v>903304.8</v>
      </c>
      <c r="G976" s="14">
        <f t="shared" si="181"/>
        <v>891450</v>
      </c>
      <c r="H976" s="15">
        <f>SUM(H761:H975)</f>
        <v>1677753626.2</v>
      </c>
      <c r="I976" s="15">
        <f t="shared" si="181"/>
        <v>472337890.32999998</v>
      </c>
      <c r="J976" s="15">
        <f t="shared" si="181"/>
        <v>162810606.59</v>
      </c>
      <c r="K976" s="15">
        <f t="shared" si="181"/>
        <v>733755540.39999998</v>
      </c>
      <c r="L976" s="15">
        <f t="shared" si="181"/>
        <v>8654646.75</v>
      </c>
      <c r="M976" s="15">
        <f t="shared" si="181"/>
        <v>201200091.66999999</v>
      </c>
      <c r="N976" s="15">
        <f t="shared" si="181"/>
        <v>17257395.780000001</v>
      </c>
      <c r="O976" s="15">
        <f t="shared" si="181"/>
        <v>81737454.680000007</v>
      </c>
      <c r="P976" s="15">
        <f t="shared" si="181"/>
        <v>0</v>
      </c>
      <c r="Q976" s="15">
        <f t="shared" si="181"/>
        <v>686392946.79999995</v>
      </c>
      <c r="R976" s="15">
        <f t="shared" si="181"/>
        <v>0</v>
      </c>
      <c r="S976" s="15">
        <f t="shared" si="181"/>
        <v>993090031.59000003</v>
      </c>
      <c r="T976" s="16" t="s">
        <v>31</v>
      </c>
      <c r="U976" s="16" t="s">
        <v>31</v>
      </c>
    </row>
    <row r="977" spans="1:21" ht="15.75">
      <c r="A977" s="292" t="s">
        <v>728</v>
      </c>
      <c r="B977" s="293"/>
      <c r="C977" s="293"/>
      <c r="D977" s="293"/>
      <c r="E977" s="293"/>
      <c r="F977" s="293"/>
      <c r="G977" s="293"/>
      <c r="H977" s="293"/>
      <c r="I977" s="293"/>
      <c r="J977" s="293"/>
      <c r="K977" s="293"/>
      <c r="L977" s="293"/>
      <c r="M977" s="293"/>
      <c r="N977" s="293"/>
      <c r="O977" s="293"/>
      <c r="P977" s="293"/>
      <c r="Q977" s="293"/>
      <c r="R977" s="293"/>
      <c r="S977" s="293"/>
      <c r="T977" s="293"/>
      <c r="U977" s="294"/>
    </row>
    <row r="978" spans="1:21" ht="15.75">
      <c r="A978" s="182">
        <f>A975+1</f>
        <v>270</v>
      </c>
      <c r="B978" s="210" t="s">
        <v>730</v>
      </c>
      <c r="C978" s="211">
        <v>1987</v>
      </c>
      <c r="D978" s="182"/>
      <c r="E978" s="182"/>
      <c r="F978" s="184">
        <v>4880</v>
      </c>
      <c r="G978" s="184">
        <v>3733.9</v>
      </c>
      <c r="H978" s="1">
        <f t="shared" ref="H978:H984" si="182">I978+J978+K978+L978+M978+N978+O978</f>
        <v>3037801.66</v>
      </c>
      <c r="I978" s="1">
        <v>0</v>
      </c>
      <c r="J978" s="1">
        <f>3037801.66*1-O978</f>
        <v>2961856.62</v>
      </c>
      <c r="K978" s="1">
        <v>0</v>
      </c>
      <c r="L978" s="1">
        <v>0</v>
      </c>
      <c r="M978" s="1">
        <v>0</v>
      </c>
      <c r="N978" s="1">
        <v>0</v>
      </c>
      <c r="O978" s="1">
        <v>75945.039999999994</v>
      </c>
      <c r="P978" s="1">
        <v>0</v>
      </c>
      <c r="Q978" s="1">
        <v>0</v>
      </c>
      <c r="R978" s="1">
        <v>0</v>
      </c>
      <c r="S978" s="13">
        <f t="shared" ref="S978:S984" si="183">H978</f>
        <v>3037801.66</v>
      </c>
      <c r="T978" s="182">
        <v>2022</v>
      </c>
      <c r="U978" s="182">
        <v>2022</v>
      </c>
    </row>
    <row r="979" spans="1:21" ht="15.75">
      <c r="A979" s="182">
        <f t="shared" ref="A979:A1009" si="184">A978+1</f>
        <v>271</v>
      </c>
      <c r="B979" s="210" t="s">
        <v>731</v>
      </c>
      <c r="C979" s="211">
        <v>1989</v>
      </c>
      <c r="D979" s="212"/>
      <c r="E979" s="212"/>
      <c r="F979" s="184">
        <v>5246.1</v>
      </c>
      <c r="G979" s="184">
        <v>3713.6</v>
      </c>
      <c r="H979" s="1">
        <f t="shared" si="182"/>
        <v>3037801.66</v>
      </c>
      <c r="I979" s="1">
        <v>0</v>
      </c>
      <c r="J979" s="1">
        <f>3037801.66*1-O979</f>
        <v>2961856.62</v>
      </c>
      <c r="K979" s="1">
        <v>0</v>
      </c>
      <c r="L979" s="1">
        <v>0</v>
      </c>
      <c r="M979" s="1">
        <v>0</v>
      </c>
      <c r="N979" s="1">
        <v>0</v>
      </c>
      <c r="O979" s="1">
        <v>75945.039999999994</v>
      </c>
      <c r="P979" s="1">
        <v>0</v>
      </c>
      <c r="Q979" s="1">
        <v>0</v>
      </c>
      <c r="R979" s="1">
        <v>0</v>
      </c>
      <c r="S979" s="1">
        <f t="shared" si="183"/>
        <v>3037801.66</v>
      </c>
      <c r="T979" s="182">
        <v>2022</v>
      </c>
      <c r="U979" s="182">
        <v>2022</v>
      </c>
    </row>
    <row r="980" spans="1:21" ht="15.75">
      <c r="A980" s="182">
        <f t="shared" si="184"/>
        <v>272</v>
      </c>
      <c r="B980" s="213" t="s">
        <v>732</v>
      </c>
      <c r="C980" s="53">
        <v>1959</v>
      </c>
      <c r="D980" s="212"/>
      <c r="E980" s="212"/>
      <c r="F980" s="32">
        <v>2277.4</v>
      </c>
      <c r="G980" s="32">
        <v>1105</v>
      </c>
      <c r="H980" s="1">
        <f t="shared" si="182"/>
        <v>6968375.2999999998</v>
      </c>
      <c r="I980" s="1">
        <v>0</v>
      </c>
      <c r="J980" s="1">
        <v>0</v>
      </c>
      <c r="K980" s="1">
        <f>6602739.65*1.015</f>
        <v>6701780.7400000002</v>
      </c>
      <c r="L980" s="1">
        <v>0</v>
      </c>
      <c r="M980" s="1">
        <v>0</v>
      </c>
      <c r="N980" s="1">
        <v>0</v>
      </c>
      <c r="O980" s="1">
        <v>266594.56</v>
      </c>
      <c r="P980" s="1">
        <v>0</v>
      </c>
      <c r="Q980" s="1">
        <v>0</v>
      </c>
      <c r="R980" s="1">
        <v>0</v>
      </c>
      <c r="S980" s="1">
        <f t="shared" si="183"/>
        <v>6968375.2999999998</v>
      </c>
      <c r="T980" s="182">
        <v>2022</v>
      </c>
      <c r="U980" s="182">
        <v>2022</v>
      </c>
    </row>
    <row r="981" spans="1:21" ht="15.75">
      <c r="A981" s="182">
        <f t="shared" si="184"/>
        <v>273</v>
      </c>
      <c r="B981" s="210" t="s">
        <v>733</v>
      </c>
      <c r="C981" s="53">
        <v>1967</v>
      </c>
      <c r="D981" s="212"/>
      <c r="E981" s="212"/>
      <c r="F981" s="32">
        <v>4311.1000000000004</v>
      </c>
      <c r="G981" s="32">
        <v>3166.6</v>
      </c>
      <c r="H981" s="1">
        <f t="shared" si="182"/>
        <v>12323107.57</v>
      </c>
      <c r="I981" s="1">
        <v>0</v>
      </c>
      <c r="J981" s="1">
        <v>0</v>
      </c>
      <c r="K981" s="1">
        <f>ROUND(G981*3727.29*1.015,2)</f>
        <v>11979879.060000001</v>
      </c>
      <c r="L981" s="1">
        <v>0</v>
      </c>
      <c r="M981" s="1">
        <v>0</v>
      </c>
      <c r="N981" s="1">
        <v>0</v>
      </c>
      <c r="O981" s="1">
        <v>343228.51</v>
      </c>
      <c r="P981" s="1">
        <v>0</v>
      </c>
      <c r="Q981" s="1">
        <v>0</v>
      </c>
      <c r="R981" s="1">
        <v>0</v>
      </c>
      <c r="S981" s="1">
        <f t="shared" si="183"/>
        <v>12323107.57</v>
      </c>
      <c r="T981" s="182">
        <v>2022</v>
      </c>
      <c r="U981" s="182">
        <v>2022</v>
      </c>
    </row>
    <row r="982" spans="1:21" ht="15.75">
      <c r="A982" s="182">
        <f t="shared" si="184"/>
        <v>274</v>
      </c>
      <c r="B982" s="210" t="s">
        <v>734</v>
      </c>
      <c r="C982" s="214">
        <v>1951</v>
      </c>
      <c r="D982" s="212"/>
      <c r="E982" s="212"/>
      <c r="F982" s="184">
        <v>1099</v>
      </c>
      <c r="G982" s="184">
        <v>519.1</v>
      </c>
      <c r="H982" s="1">
        <f t="shared" si="182"/>
        <v>4715760.46</v>
      </c>
      <c r="I982" s="1">
        <v>0</v>
      </c>
      <c r="J982" s="1">
        <v>0</v>
      </c>
      <c r="K982" s="1">
        <f>ROUND(G982*8645.31*1.015,2)</f>
        <v>4555097.13</v>
      </c>
      <c r="L982" s="1">
        <v>0</v>
      </c>
      <c r="M982" s="1">
        <v>0</v>
      </c>
      <c r="N982" s="1">
        <v>0</v>
      </c>
      <c r="O982" s="1">
        <v>160663.32999999999</v>
      </c>
      <c r="P982" s="1">
        <v>0</v>
      </c>
      <c r="Q982" s="1">
        <v>0</v>
      </c>
      <c r="R982" s="1">
        <v>0</v>
      </c>
      <c r="S982" s="13">
        <f t="shared" si="183"/>
        <v>4715760.46</v>
      </c>
      <c r="T982" s="182">
        <v>2022</v>
      </c>
      <c r="U982" s="182">
        <v>2022</v>
      </c>
    </row>
    <row r="983" spans="1:21" ht="15.75">
      <c r="A983" s="182">
        <f t="shared" si="184"/>
        <v>275</v>
      </c>
      <c r="B983" s="210" t="s">
        <v>729</v>
      </c>
      <c r="C983" s="215">
        <v>1994</v>
      </c>
      <c r="D983" s="182"/>
      <c r="E983" s="182"/>
      <c r="F983" s="184">
        <v>5087</v>
      </c>
      <c r="G983" s="180">
        <v>3685.5</v>
      </c>
      <c r="H983" s="1">
        <f t="shared" si="182"/>
        <v>3037801.66</v>
      </c>
      <c r="I983" s="1">
        <v>0</v>
      </c>
      <c r="J983" s="1">
        <f>3037801.66*1-O983</f>
        <v>2961856.62</v>
      </c>
      <c r="K983" s="1">
        <v>0</v>
      </c>
      <c r="L983" s="1">
        <v>0</v>
      </c>
      <c r="M983" s="1">
        <v>0</v>
      </c>
      <c r="N983" s="1">
        <v>0</v>
      </c>
      <c r="O983" s="1">
        <v>75945.039999999994</v>
      </c>
      <c r="P983" s="1">
        <v>0</v>
      </c>
      <c r="Q983" s="1">
        <v>0</v>
      </c>
      <c r="R983" s="1">
        <v>0</v>
      </c>
      <c r="S983" s="13">
        <f t="shared" si="183"/>
        <v>3037801.66</v>
      </c>
      <c r="T983" s="182">
        <v>2022</v>
      </c>
      <c r="U983" s="182">
        <v>2022</v>
      </c>
    </row>
    <row r="984" spans="1:21" ht="15.75">
      <c r="A984" s="182">
        <f t="shared" si="184"/>
        <v>276</v>
      </c>
      <c r="B984" s="210" t="s">
        <v>735</v>
      </c>
      <c r="C984" s="216">
        <v>1975</v>
      </c>
      <c r="D984" s="212"/>
      <c r="E984" s="212"/>
      <c r="F984" s="184">
        <v>8249.7000000000007</v>
      </c>
      <c r="G984" s="184">
        <v>6007.7</v>
      </c>
      <c r="H984" s="1">
        <f t="shared" si="182"/>
        <v>14042828.199999999</v>
      </c>
      <c r="I984" s="1">
        <f>ROUND((903.99+620.83+660.21)*G984*1.015,2)</f>
        <v>13323909.800000001</v>
      </c>
      <c r="J984" s="1">
        <v>0</v>
      </c>
      <c r="K984" s="1">
        <v>0</v>
      </c>
      <c r="L984" s="1">
        <v>0</v>
      </c>
      <c r="M984" s="1">
        <v>0</v>
      </c>
      <c r="N984" s="1">
        <v>0</v>
      </c>
      <c r="O984" s="1">
        <v>718918.4</v>
      </c>
      <c r="P984" s="1">
        <v>0</v>
      </c>
      <c r="Q984" s="1">
        <v>0</v>
      </c>
      <c r="R984" s="1">
        <v>0</v>
      </c>
      <c r="S984" s="13">
        <f t="shared" si="183"/>
        <v>14042828.199999999</v>
      </c>
      <c r="T984" s="182">
        <v>2022</v>
      </c>
      <c r="U984" s="182">
        <v>2022</v>
      </c>
    </row>
    <row r="985" spans="1:21" ht="15.75">
      <c r="A985" s="182">
        <f t="shared" si="184"/>
        <v>277</v>
      </c>
      <c r="B985" s="210" t="s">
        <v>521</v>
      </c>
      <c r="C985" s="215">
        <v>1980</v>
      </c>
      <c r="D985" s="212"/>
      <c r="E985" s="212"/>
      <c r="F985" s="184">
        <v>2373.3000000000002</v>
      </c>
      <c r="G985" s="180">
        <v>2063.8000000000002</v>
      </c>
      <c r="H985" s="1">
        <f>K985+O985</f>
        <v>7693838.2300000004</v>
      </c>
      <c r="I985" s="1">
        <v>0</v>
      </c>
      <c r="J985" s="1">
        <v>0</v>
      </c>
      <c r="K985" s="1">
        <v>7222708.7199999997</v>
      </c>
      <c r="L985" s="1">
        <v>0</v>
      </c>
      <c r="M985" s="1">
        <v>0</v>
      </c>
      <c r="N985" s="1">
        <v>0</v>
      </c>
      <c r="O985" s="217">
        <v>471129.51</v>
      </c>
      <c r="P985" s="1">
        <v>0</v>
      </c>
      <c r="Q985" s="1">
        <f t="shared" ref="Q985:Q1001" si="185">H985</f>
        <v>7693838.2300000004</v>
      </c>
      <c r="R985" s="1">
        <v>0</v>
      </c>
      <c r="S985" s="13" t="s">
        <v>59</v>
      </c>
      <c r="T985" s="182">
        <v>2021</v>
      </c>
      <c r="U985" s="182">
        <v>2022</v>
      </c>
    </row>
    <row r="986" spans="1:21" ht="15.75">
      <c r="A986" s="182">
        <f t="shared" si="184"/>
        <v>278</v>
      </c>
      <c r="B986" s="210" t="s">
        <v>522</v>
      </c>
      <c r="C986" s="215">
        <v>1980</v>
      </c>
      <c r="D986" s="212"/>
      <c r="E986" s="212"/>
      <c r="F986" s="184">
        <v>2365.9</v>
      </c>
      <c r="G986" s="180">
        <v>2061.5</v>
      </c>
      <c r="H986" s="1">
        <f>K986+O986</f>
        <v>7685699.9400000004</v>
      </c>
      <c r="I986" s="1">
        <v>0</v>
      </c>
      <c r="J986" s="1">
        <v>0</v>
      </c>
      <c r="K986" s="217">
        <v>7214659.3799999999</v>
      </c>
      <c r="L986" s="1">
        <v>0</v>
      </c>
      <c r="M986" s="1">
        <v>0</v>
      </c>
      <c r="N986" s="1">
        <v>0</v>
      </c>
      <c r="O986" s="1">
        <v>471040.56</v>
      </c>
      <c r="P986" s="1">
        <v>0</v>
      </c>
      <c r="Q986" s="1">
        <f t="shared" si="185"/>
        <v>7685699.9400000004</v>
      </c>
      <c r="R986" s="1">
        <v>0</v>
      </c>
      <c r="S986" s="13" t="s">
        <v>59</v>
      </c>
      <c r="T986" s="182">
        <v>2021</v>
      </c>
      <c r="U986" s="182">
        <v>2022</v>
      </c>
    </row>
    <row r="987" spans="1:21" ht="15.75">
      <c r="A987" s="182">
        <f t="shared" si="184"/>
        <v>279</v>
      </c>
      <c r="B987" s="210" t="s">
        <v>821</v>
      </c>
      <c r="C987" s="215">
        <v>1985</v>
      </c>
      <c r="D987" s="212"/>
      <c r="E987" s="212"/>
      <c r="F987" s="184">
        <v>4966.3</v>
      </c>
      <c r="G987" s="184">
        <v>3413.9</v>
      </c>
      <c r="H987" s="1">
        <f>I987+J987+K987+L987+M987+N987+O987</f>
        <v>13321551.68</v>
      </c>
      <c r="I987" s="1">
        <v>4147923.45</v>
      </c>
      <c r="J987" s="1">
        <v>0</v>
      </c>
      <c r="K987" s="1">
        <v>8432484.4399999995</v>
      </c>
      <c r="L987" s="1">
        <v>0</v>
      </c>
      <c r="M987" s="1">
        <v>0</v>
      </c>
      <c r="N987" s="1">
        <v>0</v>
      </c>
      <c r="O987" s="1">
        <v>741143.79</v>
      </c>
      <c r="P987" s="1">
        <v>0</v>
      </c>
      <c r="Q987" s="1">
        <f t="shared" si="185"/>
        <v>13321551.68</v>
      </c>
      <c r="R987" s="1">
        <v>0</v>
      </c>
      <c r="S987" s="1">
        <v>0</v>
      </c>
      <c r="T987" s="182">
        <v>2022</v>
      </c>
      <c r="U987" s="182">
        <v>2023</v>
      </c>
    </row>
    <row r="988" spans="1:21" ht="15.75">
      <c r="A988" s="182">
        <f t="shared" si="184"/>
        <v>280</v>
      </c>
      <c r="B988" s="210" t="s">
        <v>523</v>
      </c>
      <c r="C988" s="215">
        <v>1980</v>
      </c>
      <c r="D988" s="212"/>
      <c r="E988" s="212"/>
      <c r="F988" s="184">
        <v>2289</v>
      </c>
      <c r="G988" s="180">
        <v>1997.5</v>
      </c>
      <c r="H988" s="1">
        <f>K988+O988</f>
        <v>7449058.9000000004</v>
      </c>
      <c r="I988" s="1">
        <v>0</v>
      </c>
      <c r="J988" s="1">
        <v>0</v>
      </c>
      <c r="K988" s="1">
        <v>6990677.7199999997</v>
      </c>
      <c r="L988" s="1">
        <v>0</v>
      </c>
      <c r="M988" s="1">
        <v>0</v>
      </c>
      <c r="N988" s="1">
        <v>0</v>
      </c>
      <c r="O988" s="1">
        <v>458381.18</v>
      </c>
      <c r="P988" s="1">
        <v>0</v>
      </c>
      <c r="Q988" s="1">
        <f t="shared" si="185"/>
        <v>7449058.9000000004</v>
      </c>
      <c r="R988" s="1">
        <v>0</v>
      </c>
      <c r="S988" s="13" t="s">
        <v>59</v>
      </c>
      <c r="T988" s="182">
        <v>2021</v>
      </c>
      <c r="U988" s="182">
        <v>2022</v>
      </c>
    </row>
    <row r="989" spans="1:21" ht="15.75">
      <c r="A989" s="182">
        <f t="shared" si="184"/>
        <v>281</v>
      </c>
      <c r="B989" s="210" t="s">
        <v>822</v>
      </c>
      <c r="C989" s="215">
        <v>1983</v>
      </c>
      <c r="D989" s="212"/>
      <c r="E989" s="212"/>
      <c r="F989" s="184">
        <v>2964.2</v>
      </c>
      <c r="G989" s="184">
        <v>2057.1999999999998</v>
      </c>
      <c r="H989" s="1">
        <f>I989+K989+M989+O989</f>
        <v>14723235.15</v>
      </c>
      <c r="I989" s="1">
        <v>3745219.99</v>
      </c>
      <c r="J989" s="1">
        <v>0</v>
      </c>
      <c r="K989" s="1">
        <v>5458309.4299999997</v>
      </c>
      <c r="L989" s="1">
        <v>0</v>
      </c>
      <c r="M989" s="1">
        <v>4699045.8</v>
      </c>
      <c r="N989" s="1">
        <v>0</v>
      </c>
      <c r="O989" s="1">
        <v>820659.93</v>
      </c>
      <c r="P989" s="1">
        <v>0</v>
      </c>
      <c r="Q989" s="1">
        <f t="shared" si="185"/>
        <v>14723235.15</v>
      </c>
      <c r="R989" s="1">
        <v>0</v>
      </c>
      <c r="S989" s="1">
        <v>0</v>
      </c>
      <c r="T989" s="182">
        <v>2022</v>
      </c>
      <c r="U989" s="182">
        <v>2023</v>
      </c>
    </row>
    <row r="990" spans="1:21" ht="15.75">
      <c r="A990" s="182">
        <f t="shared" si="184"/>
        <v>282</v>
      </c>
      <c r="B990" s="210" t="s">
        <v>823</v>
      </c>
      <c r="C990" s="215">
        <v>1990</v>
      </c>
      <c r="D990" s="212"/>
      <c r="E990" s="212"/>
      <c r="F990" s="184">
        <v>4973.7</v>
      </c>
      <c r="G990" s="184">
        <v>3341.7</v>
      </c>
      <c r="H990" s="1">
        <f>I990+K990+M990+O990</f>
        <v>14527679.68</v>
      </c>
      <c r="I990" s="1">
        <v>6083706.79</v>
      </c>
      <c r="J990" s="1">
        <v>0</v>
      </c>
      <c r="K990" s="1">
        <v>0</v>
      </c>
      <c r="L990" s="1">
        <v>0</v>
      </c>
      <c r="M990" s="1">
        <v>7633094.1900000004</v>
      </c>
      <c r="N990" s="1">
        <v>0</v>
      </c>
      <c r="O990" s="1">
        <v>810878.7</v>
      </c>
      <c r="P990" s="1">
        <v>0</v>
      </c>
      <c r="Q990" s="1">
        <f t="shared" si="185"/>
        <v>14527679.68</v>
      </c>
      <c r="R990" s="1">
        <v>0</v>
      </c>
      <c r="S990" s="1">
        <v>0</v>
      </c>
      <c r="T990" s="182">
        <v>2022</v>
      </c>
      <c r="U990" s="182">
        <v>2023</v>
      </c>
    </row>
    <row r="991" spans="1:21" ht="15.75">
      <c r="A991" s="182">
        <f t="shared" si="184"/>
        <v>283</v>
      </c>
      <c r="B991" s="210" t="s">
        <v>518</v>
      </c>
      <c r="C991" s="215">
        <v>1990</v>
      </c>
      <c r="D991" s="212"/>
      <c r="E991" s="212"/>
      <c r="F991" s="184">
        <v>3024</v>
      </c>
      <c r="G991" s="184">
        <v>2083</v>
      </c>
      <c r="H991" s="1">
        <f t="shared" ref="H991:H1009" si="186">I991+J991+K991+L991+M991+N991+O991</f>
        <v>4016358.85</v>
      </c>
      <c r="I991" s="1">
        <v>3792189.99</v>
      </c>
      <c r="J991" s="1">
        <v>0</v>
      </c>
      <c r="K991" s="1">
        <v>0</v>
      </c>
      <c r="L991" s="1">
        <v>0</v>
      </c>
      <c r="M991" s="1">
        <v>0</v>
      </c>
      <c r="N991" s="1">
        <v>0</v>
      </c>
      <c r="O991" s="1">
        <v>224168.86</v>
      </c>
      <c r="P991" s="1">
        <v>0</v>
      </c>
      <c r="Q991" s="1">
        <f t="shared" si="185"/>
        <v>4016358.85</v>
      </c>
      <c r="R991" s="1">
        <v>0</v>
      </c>
      <c r="S991" s="1">
        <v>0</v>
      </c>
      <c r="T991" s="182">
        <v>2022</v>
      </c>
      <c r="U991" s="182">
        <v>2023</v>
      </c>
    </row>
    <row r="992" spans="1:21" ht="15.75">
      <c r="A992" s="182">
        <f t="shared" si="184"/>
        <v>284</v>
      </c>
      <c r="B992" s="210" t="s">
        <v>824</v>
      </c>
      <c r="C992" s="215">
        <v>1990</v>
      </c>
      <c r="D992" s="212"/>
      <c r="E992" s="212"/>
      <c r="F992" s="184">
        <v>5029.5</v>
      </c>
      <c r="G992" s="184">
        <v>3339.3</v>
      </c>
      <c r="H992" s="1">
        <f t="shared" si="186"/>
        <v>4254538.5599999996</v>
      </c>
      <c r="I992" s="1">
        <v>4017109.58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237428.98</v>
      </c>
      <c r="P992" s="1">
        <v>0</v>
      </c>
      <c r="Q992" s="1">
        <f t="shared" si="185"/>
        <v>4254538.5599999996</v>
      </c>
      <c r="R992" s="1">
        <v>0</v>
      </c>
      <c r="S992" s="1">
        <v>0</v>
      </c>
      <c r="T992" s="182">
        <v>2022</v>
      </c>
      <c r="U992" s="182">
        <v>2023</v>
      </c>
    </row>
    <row r="993" spans="1:21" ht="15.75">
      <c r="A993" s="182">
        <f t="shared" si="184"/>
        <v>285</v>
      </c>
      <c r="B993" s="210" t="s">
        <v>519</v>
      </c>
      <c r="C993" s="215">
        <v>1990</v>
      </c>
      <c r="D993" s="212"/>
      <c r="E993" s="212"/>
      <c r="F993" s="184">
        <v>4999.6000000000004</v>
      </c>
      <c r="G993" s="184">
        <v>3283.3</v>
      </c>
      <c r="H993" s="1">
        <f t="shared" si="186"/>
        <v>4183190.03</v>
      </c>
      <c r="I993" s="1">
        <v>3949742.72</v>
      </c>
      <c r="J993" s="1">
        <v>0</v>
      </c>
      <c r="K993" s="1">
        <v>0</v>
      </c>
      <c r="L993" s="1">
        <v>0</v>
      </c>
      <c r="M993" s="1">
        <v>0</v>
      </c>
      <c r="N993" s="1">
        <v>0</v>
      </c>
      <c r="O993" s="1">
        <v>233447.31</v>
      </c>
      <c r="P993" s="1">
        <v>0</v>
      </c>
      <c r="Q993" s="1">
        <f t="shared" si="185"/>
        <v>4183190.03</v>
      </c>
      <c r="R993" s="1">
        <v>0</v>
      </c>
      <c r="S993" s="1">
        <v>0</v>
      </c>
      <c r="T993" s="182">
        <v>2022</v>
      </c>
      <c r="U993" s="182">
        <v>2023</v>
      </c>
    </row>
    <row r="994" spans="1:21" ht="15.75">
      <c r="A994" s="182">
        <f t="shared" si="184"/>
        <v>286</v>
      </c>
      <c r="B994" s="210" t="s">
        <v>825</v>
      </c>
      <c r="C994" s="215">
        <v>1966</v>
      </c>
      <c r="D994" s="212"/>
      <c r="E994" s="212"/>
      <c r="F994" s="184">
        <v>4169.7</v>
      </c>
      <c r="G994" s="184">
        <v>3549</v>
      </c>
      <c r="H994" s="1">
        <f t="shared" si="186"/>
        <v>10738960.74</v>
      </c>
      <c r="I994" s="1">
        <v>0</v>
      </c>
      <c r="J994" s="1">
        <v>0</v>
      </c>
      <c r="K994" s="218">
        <v>10131095.039999999</v>
      </c>
      <c r="L994" s="1">
        <v>0</v>
      </c>
      <c r="M994" s="1">
        <v>0</v>
      </c>
      <c r="N994" s="1">
        <v>0</v>
      </c>
      <c r="O994" s="1">
        <v>607865.69999999995</v>
      </c>
      <c r="P994" s="1">
        <v>0</v>
      </c>
      <c r="Q994" s="1">
        <f t="shared" si="185"/>
        <v>10738960.74</v>
      </c>
      <c r="R994" s="1">
        <v>0</v>
      </c>
      <c r="S994" s="1">
        <v>0</v>
      </c>
      <c r="T994" s="182">
        <v>2022</v>
      </c>
      <c r="U994" s="182">
        <v>2023</v>
      </c>
    </row>
    <row r="995" spans="1:21" ht="15.75">
      <c r="A995" s="182">
        <f t="shared" si="184"/>
        <v>287</v>
      </c>
      <c r="B995" s="210" t="s">
        <v>826</v>
      </c>
      <c r="C995" s="215">
        <v>1972</v>
      </c>
      <c r="D995" s="212"/>
      <c r="E995" s="212"/>
      <c r="F995" s="184">
        <v>3929.5</v>
      </c>
      <c r="G995" s="184">
        <v>2756.8</v>
      </c>
      <c r="H995" s="1">
        <f t="shared" si="186"/>
        <v>5157521.8899999997</v>
      </c>
      <c r="I995" s="1">
        <v>4869785.0199999996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287736.87</v>
      </c>
      <c r="P995" s="1">
        <v>0</v>
      </c>
      <c r="Q995" s="1">
        <f t="shared" si="185"/>
        <v>5157521.8899999997</v>
      </c>
      <c r="R995" s="1">
        <v>0</v>
      </c>
      <c r="S995" s="1">
        <v>0</v>
      </c>
      <c r="T995" s="182">
        <v>2022</v>
      </c>
      <c r="U995" s="182">
        <v>2023</v>
      </c>
    </row>
    <row r="996" spans="1:21" ht="15.75">
      <c r="A996" s="182">
        <f t="shared" si="184"/>
        <v>288</v>
      </c>
      <c r="B996" s="210" t="s">
        <v>827</v>
      </c>
      <c r="C996" s="215">
        <v>1973</v>
      </c>
      <c r="D996" s="212"/>
      <c r="E996" s="212"/>
      <c r="F996" s="184">
        <v>3823.4</v>
      </c>
      <c r="G996" s="184">
        <v>2696.5</v>
      </c>
      <c r="H996" s="1">
        <f t="shared" si="186"/>
        <v>5173522.96</v>
      </c>
      <c r="I996" s="1">
        <v>4884788.54</v>
      </c>
      <c r="J996" s="1">
        <v>0</v>
      </c>
      <c r="K996" s="1">
        <v>0</v>
      </c>
      <c r="L996" s="1">
        <v>0</v>
      </c>
      <c r="M996" s="1">
        <v>0</v>
      </c>
      <c r="N996" s="1">
        <v>0</v>
      </c>
      <c r="O996" s="1">
        <v>288734.42</v>
      </c>
      <c r="P996" s="1">
        <v>0</v>
      </c>
      <c r="Q996" s="1">
        <f t="shared" si="185"/>
        <v>5173522.96</v>
      </c>
      <c r="R996" s="1">
        <v>0</v>
      </c>
      <c r="S996" s="1">
        <v>0</v>
      </c>
      <c r="T996" s="182">
        <v>2022</v>
      </c>
      <c r="U996" s="182">
        <v>2023</v>
      </c>
    </row>
    <row r="997" spans="1:21" ht="15.75">
      <c r="A997" s="182">
        <f t="shared" si="184"/>
        <v>289</v>
      </c>
      <c r="B997" s="210" t="s">
        <v>828</v>
      </c>
      <c r="C997" s="215">
        <v>1973</v>
      </c>
      <c r="D997" s="212"/>
      <c r="E997" s="212"/>
      <c r="F997" s="184">
        <v>3850.3</v>
      </c>
      <c r="G997" s="184">
        <v>2710.9</v>
      </c>
      <c r="H997" s="1">
        <f t="shared" si="186"/>
        <v>5201150.9000000004</v>
      </c>
      <c r="I997" s="1">
        <v>4910874.5599999996</v>
      </c>
      <c r="J997" s="1">
        <v>0</v>
      </c>
      <c r="K997" s="1">
        <v>0</v>
      </c>
      <c r="L997" s="1">
        <v>0</v>
      </c>
      <c r="M997" s="1">
        <v>0</v>
      </c>
      <c r="N997" s="1">
        <v>0</v>
      </c>
      <c r="O997" s="1">
        <v>290276.34000000003</v>
      </c>
      <c r="P997" s="1">
        <v>0</v>
      </c>
      <c r="Q997" s="1">
        <f t="shared" si="185"/>
        <v>5201150.9000000004</v>
      </c>
      <c r="R997" s="1">
        <v>0</v>
      </c>
      <c r="S997" s="1">
        <v>0</v>
      </c>
      <c r="T997" s="182">
        <v>2022</v>
      </c>
      <c r="U997" s="182">
        <v>2023</v>
      </c>
    </row>
    <row r="998" spans="1:21" ht="15.75">
      <c r="A998" s="182">
        <f t="shared" si="184"/>
        <v>290</v>
      </c>
      <c r="B998" s="219" t="s">
        <v>829</v>
      </c>
      <c r="C998" s="215">
        <v>1991</v>
      </c>
      <c r="D998" s="212"/>
      <c r="E998" s="212"/>
      <c r="F998" s="184">
        <v>3037.9</v>
      </c>
      <c r="G998" s="184">
        <v>2092.5</v>
      </c>
      <c r="H998" s="1">
        <f t="shared" si="186"/>
        <v>5062241.3</v>
      </c>
      <c r="I998" s="1">
        <v>0</v>
      </c>
      <c r="J998" s="1">
        <v>0</v>
      </c>
      <c r="K998" s="1">
        <v>0</v>
      </c>
      <c r="L998" s="1">
        <v>0</v>
      </c>
      <c r="M998" s="1">
        <v>4779677.8899999997</v>
      </c>
      <c r="N998" s="1">
        <v>0</v>
      </c>
      <c r="O998" s="1">
        <v>282563.40999999997</v>
      </c>
      <c r="P998" s="1">
        <v>0</v>
      </c>
      <c r="Q998" s="1">
        <f t="shared" si="185"/>
        <v>5062241.3</v>
      </c>
      <c r="R998" s="1">
        <v>0</v>
      </c>
      <c r="S998" s="1">
        <v>0</v>
      </c>
      <c r="T998" s="182">
        <v>2022</v>
      </c>
      <c r="U998" s="182">
        <v>2023</v>
      </c>
    </row>
    <row r="999" spans="1:21" ht="15.75">
      <c r="A999" s="182">
        <f t="shared" si="184"/>
        <v>291</v>
      </c>
      <c r="B999" s="219" t="s">
        <v>830</v>
      </c>
      <c r="C999" s="215">
        <v>1991</v>
      </c>
      <c r="D999" s="212"/>
      <c r="E999" s="212"/>
      <c r="F999" s="184">
        <v>5021.5</v>
      </c>
      <c r="G999" s="184">
        <v>3449.7</v>
      </c>
      <c r="H999" s="1">
        <f t="shared" si="186"/>
        <v>8345621.8899999997</v>
      </c>
      <c r="I999" s="1">
        <v>0</v>
      </c>
      <c r="J999" s="1">
        <v>0</v>
      </c>
      <c r="K999" s="1">
        <v>0</v>
      </c>
      <c r="L999" s="1">
        <v>0</v>
      </c>
      <c r="M999" s="1">
        <v>7879787.2400000002</v>
      </c>
      <c r="N999" s="1">
        <v>0</v>
      </c>
      <c r="O999" s="1">
        <v>465834.65</v>
      </c>
      <c r="P999" s="1">
        <v>0</v>
      </c>
      <c r="Q999" s="1">
        <f t="shared" si="185"/>
        <v>8345621.8899999997</v>
      </c>
      <c r="R999" s="1">
        <v>0</v>
      </c>
      <c r="S999" s="1">
        <v>0</v>
      </c>
      <c r="T999" s="182">
        <v>2022</v>
      </c>
      <c r="U999" s="182">
        <v>2023</v>
      </c>
    </row>
    <row r="1000" spans="1:21" ht="15.75">
      <c r="A1000" s="182">
        <f t="shared" si="184"/>
        <v>292</v>
      </c>
      <c r="B1000" s="219" t="s">
        <v>831</v>
      </c>
      <c r="C1000" s="215">
        <v>1991</v>
      </c>
      <c r="D1000" s="212"/>
      <c r="E1000" s="212"/>
      <c r="F1000" s="184">
        <v>3038.1</v>
      </c>
      <c r="G1000" s="184">
        <v>2140.5</v>
      </c>
      <c r="H1000" s="1">
        <f t="shared" si="186"/>
        <v>5178364.3899999997</v>
      </c>
      <c r="I1000" s="1">
        <v>0</v>
      </c>
      <c r="J1000" s="1">
        <v>0</v>
      </c>
      <c r="K1000" s="1">
        <v>0</v>
      </c>
      <c r="L1000" s="1">
        <v>0</v>
      </c>
      <c r="M1000" s="1">
        <v>4889319.2300000004</v>
      </c>
      <c r="N1000" s="1">
        <v>0</v>
      </c>
      <c r="O1000" s="1">
        <v>289045.15999999997</v>
      </c>
      <c r="P1000" s="1">
        <v>0</v>
      </c>
      <c r="Q1000" s="1">
        <f t="shared" si="185"/>
        <v>5178364.3899999997</v>
      </c>
      <c r="R1000" s="1">
        <v>0</v>
      </c>
      <c r="S1000" s="1">
        <v>0</v>
      </c>
      <c r="T1000" s="182">
        <v>2022</v>
      </c>
      <c r="U1000" s="182">
        <v>2023</v>
      </c>
    </row>
    <row r="1001" spans="1:21" ht="15.75">
      <c r="A1001" s="182">
        <f t="shared" si="184"/>
        <v>293</v>
      </c>
      <c r="B1001" s="219" t="s">
        <v>832</v>
      </c>
      <c r="C1001" s="215">
        <v>1986</v>
      </c>
      <c r="D1001" s="212"/>
      <c r="E1001" s="212"/>
      <c r="F1001" s="184">
        <v>4979.3999999999996</v>
      </c>
      <c r="G1001" s="184">
        <v>3396.7</v>
      </c>
      <c r="H1001" s="1">
        <f t="shared" si="186"/>
        <v>8929608.7100000009</v>
      </c>
      <c r="I1001" s="1">
        <v>0</v>
      </c>
      <c r="J1001" s="1">
        <v>0</v>
      </c>
      <c r="K1001" s="1">
        <v>8433636.0299999993</v>
      </c>
      <c r="L1001" s="1">
        <v>0</v>
      </c>
      <c r="M1001" s="1">
        <v>0</v>
      </c>
      <c r="N1001" s="1">
        <v>0</v>
      </c>
      <c r="O1001" s="1">
        <v>495972.68</v>
      </c>
      <c r="P1001" s="1">
        <v>0</v>
      </c>
      <c r="Q1001" s="1">
        <f t="shared" si="185"/>
        <v>8929608.7100000009</v>
      </c>
      <c r="R1001" s="1">
        <v>0</v>
      </c>
      <c r="S1001" s="1">
        <v>0</v>
      </c>
      <c r="T1001" s="182">
        <v>2022</v>
      </c>
      <c r="U1001" s="182">
        <v>2023</v>
      </c>
    </row>
    <row r="1002" spans="1:21" ht="15.75">
      <c r="A1002" s="182">
        <f t="shared" si="184"/>
        <v>294</v>
      </c>
      <c r="B1002" s="219" t="s">
        <v>736</v>
      </c>
      <c r="C1002" s="215">
        <v>1985</v>
      </c>
      <c r="D1002" s="212"/>
      <c r="E1002" s="212"/>
      <c r="F1002" s="184">
        <v>3396.7</v>
      </c>
      <c r="G1002" s="184">
        <v>3320.1</v>
      </c>
      <c r="H1002" s="1">
        <f t="shared" si="186"/>
        <v>20801852.739999998</v>
      </c>
      <c r="I1002" s="1">
        <v>0</v>
      </c>
      <c r="J1002" s="1">
        <v>0</v>
      </c>
      <c r="K1002" s="1">
        <f>12055194.02*1.015</f>
        <v>12236021.93</v>
      </c>
      <c r="L1002" s="1">
        <v>0</v>
      </c>
      <c r="M1002" s="1">
        <v>7758724.9000000004</v>
      </c>
      <c r="N1002" s="1">
        <v>0</v>
      </c>
      <c r="O1002" s="1">
        <f>348428.18+458677.73</f>
        <v>807105.91</v>
      </c>
      <c r="P1002" s="1">
        <v>0</v>
      </c>
      <c r="Q1002" s="1">
        <f>H1002-S1002</f>
        <v>8217402.6299999999</v>
      </c>
      <c r="R1002" s="1">
        <v>0</v>
      </c>
      <c r="S1002" s="13">
        <v>12584450.109999999</v>
      </c>
      <c r="T1002" s="182">
        <v>2022</v>
      </c>
      <c r="U1002" s="182">
        <v>2022</v>
      </c>
    </row>
    <row r="1003" spans="1:21" ht="15.75">
      <c r="A1003" s="182">
        <f t="shared" si="184"/>
        <v>295</v>
      </c>
      <c r="B1003" s="219" t="s">
        <v>833</v>
      </c>
      <c r="C1003" s="215">
        <v>1992</v>
      </c>
      <c r="D1003" s="212"/>
      <c r="E1003" s="212"/>
      <c r="F1003" s="184">
        <v>5226.3999999999996</v>
      </c>
      <c r="G1003" s="184">
        <v>3280.4</v>
      </c>
      <c r="H1003" s="1">
        <f t="shared" si="186"/>
        <v>7936046.04</v>
      </c>
      <c r="I1003" s="1">
        <v>0</v>
      </c>
      <c r="J1003" s="1">
        <v>0</v>
      </c>
      <c r="K1003" s="1">
        <v>0</v>
      </c>
      <c r="L1003" s="1">
        <v>0</v>
      </c>
      <c r="M1003" s="1">
        <v>7493073.0300000003</v>
      </c>
      <c r="N1003" s="1">
        <v>0</v>
      </c>
      <c r="O1003" s="1">
        <v>442973.01</v>
      </c>
      <c r="P1003" s="1">
        <v>0</v>
      </c>
      <c r="Q1003" s="1">
        <f>H1003</f>
        <v>7936046.04</v>
      </c>
      <c r="R1003" s="1">
        <v>0</v>
      </c>
      <c r="S1003" s="1">
        <v>0</v>
      </c>
      <c r="T1003" s="182">
        <v>2022</v>
      </c>
      <c r="U1003" s="182">
        <v>2023</v>
      </c>
    </row>
    <row r="1004" spans="1:21" ht="15.75">
      <c r="A1004" s="182">
        <f t="shared" si="184"/>
        <v>296</v>
      </c>
      <c r="B1004" s="219" t="s">
        <v>817</v>
      </c>
      <c r="C1004" s="215">
        <v>1974</v>
      </c>
      <c r="D1004" s="212"/>
      <c r="E1004" s="212"/>
      <c r="F1004" s="184">
        <v>3383.8</v>
      </c>
      <c r="G1004" s="184">
        <v>2022.4</v>
      </c>
      <c r="H1004" s="1">
        <f t="shared" si="186"/>
        <v>7646891.5800000001</v>
      </c>
      <c r="I1004" s="1">
        <v>0</v>
      </c>
      <c r="J1004" s="1">
        <v>0</v>
      </c>
      <c r="K1004" s="1">
        <f>7113387.52+106700.81</f>
        <v>7220088.3300000001</v>
      </c>
      <c r="L1004" s="1">
        <v>0</v>
      </c>
      <c r="M1004" s="1">
        <v>0</v>
      </c>
      <c r="N1004" s="1">
        <v>0</v>
      </c>
      <c r="O1004" s="1">
        <v>426803.25</v>
      </c>
      <c r="P1004" s="1">
        <v>0</v>
      </c>
      <c r="Q1004" s="1">
        <v>0</v>
      </c>
      <c r="R1004" s="1">
        <v>0</v>
      </c>
      <c r="S1004" s="13">
        <f>H1004</f>
        <v>7646891.5800000001</v>
      </c>
      <c r="T1004" s="182">
        <v>2022</v>
      </c>
      <c r="U1004" s="182">
        <v>2023</v>
      </c>
    </row>
    <row r="1005" spans="1:21" ht="15.75">
      <c r="A1005" s="182">
        <f t="shared" si="184"/>
        <v>297</v>
      </c>
      <c r="B1005" s="219" t="s">
        <v>1038</v>
      </c>
      <c r="C1005" s="215">
        <v>1975</v>
      </c>
      <c r="D1005" s="212"/>
      <c r="E1005" s="212"/>
      <c r="F1005" s="220">
        <v>3410.2</v>
      </c>
      <c r="G1005" s="220">
        <v>2133.8000000000002</v>
      </c>
      <c r="H1005" s="1">
        <f t="shared" si="186"/>
        <v>8143157.9900000002</v>
      </c>
      <c r="I1005" s="1"/>
      <c r="J1005" s="1"/>
      <c r="K1005" s="1">
        <f>7505214.74*1.015</f>
        <v>7617792.96</v>
      </c>
      <c r="L1005" s="1"/>
      <c r="M1005" s="1"/>
      <c r="N1005" s="1"/>
      <c r="O1005" s="1">
        <v>525365.03</v>
      </c>
      <c r="P1005" s="1"/>
      <c r="Q1005" s="1"/>
      <c r="R1005" s="1"/>
      <c r="S1005" s="13">
        <f>O1005+K1005</f>
        <v>8143157.9900000002</v>
      </c>
      <c r="T1005" s="182">
        <v>2022</v>
      </c>
      <c r="U1005" s="182">
        <v>2023</v>
      </c>
    </row>
    <row r="1006" spans="1:21" ht="15.75">
      <c r="A1006" s="182">
        <f t="shared" si="184"/>
        <v>298</v>
      </c>
      <c r="B1006" s="219" t="s">
        <v>1039</v>
      </c>
      <c r="C1006" s="215">
        <v>1978</v>
      </c>
      <c r="D1006" s="212"/>
      <c r="E1006" s="212"/>
      <c r="F1006" s="220">
        <v>3368</v>
      </c>
      <c r="G1006" s="220">
        <v>2043.7</v>
      </c>
      <c r="H1006" s="1">
        <f t="shared" si="186"/>
        <v>7799312.0199999996</v>
      </c>
      <c r="I1006" s="1"/>
      <c r="J1006" s="1"/>
      <c r="K1006" s="1">
        <f>7188306.01*1.015</f>
        <v>7296130.5999999996</v>
      </c>
      <c r="L1006" s="1"/>
      <c r="M1006" s="1"/>
      <c r="N1006" s="1"/>
      <c r="O1006" s="1">
        <v>503181.42</v>
      </c>
      <c r="P1006" s="1"/>
      <c r="Q1006" s="1"/>
      <c r="R1006" s="1"/>
      <c r="S1006" s="13">
        <f>O1006+K1006</f>
        <v>7799312.0199999996</v>
      </c>
      <c r="T1006" s="182">
        <v>2022</v>
      </c>
      <c r="U1006" s="182">
        <v>2023</v>
      </c>
    </row>
    <row r="1007" spans="1:21" ht="15.75">
      <c r="A1007" s="182">
        <f t="shared" si="184"/>
        <v>299</v>
      </c>
      <c r="B1007" s="219" t="s">
        <v>818</v>
      </c>
      <c r="C1007" s="215">
        <v>1958</v>
      </c>
      <c r="D1007" s="212"/>
      <c r="E1007" s="212"/>
      <c r="F1007" s="184"/>
      <c r="G1007" s="184">
        <v>974.2</v>
      </c>
      <c r="H1007" s="1">
        <f t="shared" si="186"/>
        <v>23907145.370000001</v>
      </c>
      <c r="I1007" s="1">
        <v>5106021.0999999996</v>
      </c>
      <c r="J1007" s="1">
        <v>0</v>
      </c>
      <c r="K1007" s="1">
        <v>8380149.7000000002</v>
      </c>
      <c r="L1007" s="1">
        <v>0</v>
      </c>
      <c r="M1007" s="1">
        <v>9079585.2799999993</v>
      </c>
      <c r="N1007" s="1">
        <v>0</v>
      </c>
      <c r="O1007" s="1">
        <v>1341389.29</v>
      </c>
      <c r="P1007" s="1">
        <v>0</v>
      </c>
      <c r="Q1007" s="1">
        <f>H1007</f>
        <v>23907145.370000001</v>
      </c>
      <c r="R1007" s="1">
        <v>0</v>
      </c>
      <c r="S1007" s="1">
        <v>0</v>
      </c>
      <c r="T1007" s="182">
        <v>2022</v>
      </c>
      <c r="U1007" s="182">
        <v>2023</v>
      </c>
    </row>
    <row r="1008" spans="1:21" ht="15.75">
      <c r="A1008" s="182">
        <f t="shared" si="184"/>
        <v>300</v>
      </c>
      <c r="B1008" s="219" t="s">
        <v>819</v>
      </c>
      <c r="C1008" s="215">
        <v>1958</v>
      </c>
      <c r="D1008" s="212"/>
      <c r="E1008" s="212"/>
      <c r="F1008" s="184"/>
      <c r="G1008" s="184">
        <v>974.2</v>
      </c>
      <c r="H1008" s="1">
        <f t="shared" si="186"/>
        <v>6713064.1200000001</v>
      </c>
      <c r="I1008" s="1">
        <v>0</v>
      </c>
      <c r="J1008" s="1">
        <v>0</v>
      </c>
      <c r="K1008" s="1">
        <v>6333079.3600000003</v>
      </c>
      <c r="L1008" s="1">
        <v>0</v>
      </c>
      <c r="M1008" s="1">
        <v>0</v>
      </c>
      <c r="N1008" s="1">
        <v>0</v>
      </c>
      <c r="O1008" s="1">
        <v>379984.76</v>
      </c>
      <c r="P1008" s="1">
        <v>0</v>
      </c>
      <c r="Q1008" s="1">
        <f>H1008</f>
        <v>6713064.1200000001</v>
      </c>
      <c r="R1008" s="1">
        <v>0</v>
      </c>
      <c r="S1008" s="1">
        <v>0</v>
      </c>
      <c r="T1008" s="182">
        <v>2022</v>
      </c>
      <c r="U1008" s="182">
        <v>2023</v>
      </c>
    </row>
    <row r="1009" spans="1:22" ht="15.75">
      <c r="A1009" s="182">
        <f t="shared" si="184"/>
        <v>301</v>
      </c>
      <c r="B1009" s="219" t="s">
        <v>820</v>
      </c>
      <c r="C1009" s="215">
        <v>1958</v>
      </c>
      <c r="D1009" s="212"/>
      <c r="E1009" s="212"/>
      <c r="F1009" s="184"/>
      <c r="G1009" s="184">
        <v>974.2</v>
      </c>
      <c r="H1009" s="1">
        <f t="shared" si="186"/>
        <v>6807585.3300000001</v>
      </c>
      <c r="I1009" s="1">
        <v>0</v>
      </c>
      <c r="J1009" s="1">
        <v>0</v>
      </c>
      <c r="K1009" s="1">
        <v>6427600.5700000003</v>
      </c>
      <c r="L1009" s="1">
        <v>0</v>
      </c>
      <c r="M1009" s="1">
        <v>0</v>
      </c>
      <c r="N1009" s="1">
        <v>0</v>
      </c>
      <c r="O1009" s="1">
        <v>379984.76</v>
      </c>
      <c r="P1009" s="1">
        <v>0</v>
      </c>
      <c r="Q1009" s="1">
        <f>H1009</f>
        <v>6807585.3300000001</v>
      </c>
      <c r="R1009" s="1">
        <v>0</v>
      </c>
      <c r="S1009" s="1">
        <v>0</v>
      </c>
      <c r="T1009" s="182">
        <v>2022</v>
      </c>
      <c r="U1009" s="221">
        <v>2023</v>
      </c>
    </row>
    <row r="1010" spans="1:22" ht="15.75">
      <c r="A1010" s="295" t="s">
        <v>606</v>
      </c>
      <c r="B1010" s="296"/>
      <c r="C1010" s="222"/>
      <c r="D1010" s="182"/>
      <c r="E1010" s="182"/>
      <c r="F1010" s="14">
        <f t="shared" ref="F1010:S1010" si="187">SUM(F978:F1009)</f>
        <v>114770.7</v>
      </c>
      <c r="G1010" s="14">
        <f t="shared" si="187"/>
        <v>84088.2</v>
      </c>
      <c r="H1010" s="27">
        <f t="shared" si="187"/>
        <v>268560675.5</v>
      </c>
      <c r="I1010" s="27">
        <f t="shared" si="187"/>
        <v>58831271.539999999</v>
      </c>
      <c r="J1010" s="27">
        <f t="shared" si="187"/>
        <v>8885569.8599999994</v>
      </c>
      <c r="K1010" s="27">
        <f t="shared" si="187"/>
        <v>132631191.14</v>
      </c>
      <c r="L1010" s="15">
        <f t="shared" si="187"/>
        <v>0</v>
      </c>
      <c r="M1010" s="27">
        <f t="shared" si="187"/>
        <v>54212307.560000002</v>
      </c>
      <c r="N1010" s="15">
        <f t="shared" si="187"/>
        <v>0</v>
      </c>
      <c r="O1010" s="27">
        <f t="shared" si="187"/>
        <v>14000335.4</v>
      </c>
      <c r="P1010" s="15">
        <f t="shared" si="187"/>
        <v>0</v>
      </c>
      <c r="Q1010" s="27">
        <f t="shared" si="187"/>
        <v>185223387.28999999</v>
      </c>
      <c r="R1010" s="15">
        <f t="shared" si="187"/>
        <v>0</v>
      </c>
      <c r="S1010" s="27">
        <f t="shared" si="187"/>
        <v>83337288.209999993</v>
      </c>
      <c r="T1010" s="57" t="s">
        <v>31</v>
      </c>
      <c r="U1010" s="16" t="s">
        <v>31</v>
      </c>
      <c r="V1010" s="161"/>
    </row>
    <row r="1011" spans="1:22" ht="15.75" customHeight="1">
      <c r="A1011" s="292" t="s">
        <v>524</v>
      </c>
      <c r="B1011" s="293"/>
      <c r="C1011" s="293"/>
      <c r="D1011" s="293"/>
      <c r="E1011" s="293"/>
      <c r="F1011" s="293"/>
      <c r="G1011" s="293"/>
      <c r="H1011" s="293"/>
      <c r="I1011" s="293"/>
      <c r="J1011" s="293"/>
      <c r="K1011" s="293"/>
      <c r="L1011" s="293"/>
      <c r="M1011" s="293"/>
      <c r="N1011" s="293"/>
      <c r="O1011" s="293"/>
      <c r="P1011" s="293"/>
      <c r="Q1011" s="293"/>
      <c r="R1011" s="293"/>
      <c r="S1011" s="293"/>
      <c r="T1011" s="293"/>
      <c r="U1011" s="297"/>
    </row>
    <row r="1012" spans="1:22" ht="15.75">
      <c r="A1012" s="182">
        <f>A1009+1</f>
        <v>302</v>
      </c>
      <c r="B1012" s="223" t="s">
        <v>1045</v>
      </c>
      <c r="C1012" s="190">
        <v>1971</v>
      </c>
      <c r="D1012" s="182"/>
      <c r="E1012" s="182"/>
      <c r="F1012" s="180">
        <v>5085.8999999999996</v>
      </c>
      <c r="G1012" s="180">
        <v>3700.3</v>
      </c>
      <c r="H1012" s="1">
        <f>I1012+J1012+K1012+L1012+M1012+N1012+O1012</f>
        <v>13939899.4</v>
      </c>
      <c r="I1012" s="1">
        <v>0</v>
      </c>
      <c r="J1012" s="1">
        <v>0</v>
      </c>
      <c r="K1012" s="220">
        <f>ROUND(G1012*3517.3*1.015,2)</f>
        <v>13210291.17</v>
      </c>
      <c r="L1012" s="1">
        <v>0</v>
      </c>
      <c r="M1012" s="1"/>
      <c r="N1012" s="1">
        <v>0</v>
      </c>
      <c r="O1012" s="1">
        <v>729608.23</v>
      </c>
      <c r="P1012" s="1">
        <v>0</v>
      </c>
      <c r="Q1012" s="1">
        <v>0</v>
      </c>
      <c r="R1012" s="1">
        <v>0</v>
      </c>
      <c r="S1012" s="13">
        <f>H1012</f>
        <v>13939899.4</v>
      </c>
      <c r="T1012" s="182">
        <v>2021</v>
      </c>
      <c r="U1012" s="182">
        <v>2022</v>
      </c>
    </row>
    <row r="1013" spans="1:22" ht="15.75">
      <c r="A1013" s="182">
        <f>A1012+1</f>
        <v>303</v>
      </c>
      <c r="B1013" s="223" t="s">
        <v>737</v>
      </c>
      <c r="C1013" s="183">
        <v>1989</v>
      </c>
      <c r="D1013" s="182"/>
      <c r="E1013" s="182"/>
      <c r="F1013" s="180">
        <v>5071.7</v>
      </c>
      <c r="G1013" s="180">
        <v>4404.8</v>
      </c>
      <c r="H1013" s="1">
        <f>I1013+J1013+K1013+L1013+M1013+N1013+O1013</f>
        <v>6075603.3200000003</v>
      </c>
      <c r="I1013" s="1">
        <v>0</v>
      </c>
      <c r="J1013" s="1">
        <f>3037801.66*2-O1013</f>
        <v>5923713.2400000002</v>
      </c>
      <c r="K1013" s="1">
        <v>0</v>
      </c>
      <c r="L1013" s="1">
        <v>0</v>
      </c>
      <c r="M1013" s="1">
        <v>0</v>
      </c>
      <c r="N1013" s="1">
        <v>0</v>
      </c>
      <c r="O1013" s="1">
        <f>75945.04*2</f>
        <v>151890.07999999999</v>
      </c>
      <c r="P1013" s="1">
        <v>0</v>
      </c>
      <c r="Q1013" s="1">
        <v>0</v>
      </c>
      <c r="R1013" s="1">
        <v>0</v>
      </c>
      <c r="S1013" s="13">
        <f>H1013</f>
        <v>6075603.3200000003</v>
      </c>
      <c r="T1013" s="182">
        <v>2022</v>
      </c>
      <c r="U1013" s="182">
        <v>2022</v>
      </c>
    </row>
    <row r="1014" spans="1:22" ht="15.75">
      <c r="A1014" s="182">
        <f>A1013+1</f>
        <v>304</v>
      </c>
      <c r="B1014" s="223" t="s">
        <v>738</v>
      </c>
      <c r="C1014" s="183">
        <v>1969</v>
      </c>
      <c r="D1014" s="182"/>
      <c r="E1014" s="182"/>
      <c r="F1014" s="180">
        <v>2317.6999999999998</v>
      </c>
      <c r="G1014" s="220">
        <v>1963.43</v>
      </c>
      <c r="H1014" s="1">
        <f>I1014+J1014+K1014+L1014+M1014+N1014+O1014</f>
        <v>7416605.21</v>
      </c>
      <c r="I1014" s="1">
        <v>0</v>
      </c>
      <c r="J1014" s="1">
        <v>0</v>
      </c>
      <c r="K1014" s="1">
        <f>ROUND(G1014*3617.12*1.015,2)</f>
        <v>7208491.3499999996</v>
      </c>
      <c r="L1014" s="1">
        <v>0</v>
      </c>
      <c r="M1014" s="1"/>
      <c r="N1014" s="1">
        <v>0</v>
      </c>
      <c r="O1014" s="1">
        <v>208113.86</v>
      </c>
      <c r="P1014" s="1">
        <v>0</v>
      </c>
      <c r="Q1014" s="1">
        <v>0</v>
      </c>
      <c r="R1014" s="1">
        <v>0</v>
      </c>
      <c r="S1014" s="13">
        <f>H1014</f>
        <v>7416605.21</v>
      </c>
      <c r="T1014" s="182">
        <v>2022</v>
      </c>
      <c r="U1014" s="182">
        <v>2022</v>
      </c>
    </row>
    <row r="1015" spans="1:22" ht="15.75">
      <c r="A1015" s="182">
        <f>A1014+1</f>
        <v>305</v>
      </c>
      <c r="B1015" s="223" t="s">
        <v>739</v>
      </c>
      <c r="C1015" s="183">
        <v>1980</v>
      </c>
      <c r="D1015" s="182"/>
      <c r="E1015" s="182"/>
      <c r="F1015" s="180">
        <v>5190.6000000000004</v>
      </c>
      <c r="G1015" s="180">
        <v>3940.1</v>
      </c>
      <c r="H1015" s="1">
        <f>I1015+J1015+K1015+L1015+M1015+N1015+O1015</f>
        <v>13020353.470000001</v>
      </c>
      <c r="I1015" s="1">
        <v>0</v>
      </c>
      <c r="J1015" s="1">
        <v>0</v>
      </c>
      <c r="K1015" s="1">
        <v>0</v>
      </c>
      <c r="L1015" s="1">
        <v>0</v>
      </c>
      <c r="M1015" s="1">
        <f>3170.13*G1015*1.015</f>
        <v>12677988.65</v>
      </c>
      <c r="N1015" s="1">
        <v>0</v>
      </c>
      <c r="O1015" s="1">
        <v>342364.82</v>
      </c>
      <c r="P1015" s="1">
        <v>0</v>
      </c>
      <c r="Q1015" s="1">
        <v>0</v>
      </c>
      <c r="R1015" s="1">
        <v>0</v>
      </c>
      <c r="S1015" s="13">
        <f>H1015</f>
        <v>13020353.470000001</v>
      </c>
      <c r="T1015" s="182">
        <v>2022</v>
      </c>
      <c r="U1015" s="182">
        <v>2022</v>
      </c>
    </row>
    <row r="1016" spans="1:22" ht="15.75">
      <c r="A1016" s="182">
        <f>A1015+1</f>
        <v>306</v>
      </c>
      <c r="B1016" s="223" t="s">
        <v>834</v>
      </c>
      <c r="C1016" s="183">
        <v>1984</v>
      </c>
      <c r="D1016" s="182"/>
      <c r="E1016" s="182"/>
      <c r="F1016" s="180">
        <v>578.70000000000005</v>
      </c>
      <c r="G1016" s="180">
        <v>517.4</v>
      </c>
      <c r="H1016" s="1">
        <f>I1016+J1016+K1016+L1016+M1016+N1016+O1016</f>
        <v>3670594.92</v>
      </c>
      <c r="I1016" s="1">
        <v>0</v>
      </c>
      <c r="J1016" s="1">
        <v>0</v>
      </c>
      <c r="K1016" s="1">
        <v>3529570.32</v>
      </c>
      <c r="L1016" s="1">
        <v>0</v>
      </c>
      <c r="M1016" s="1"/>
      <c r="N1016" s="1">
        <v>0</v>
      </c>
      <c r="O1016" s="1">
        <v>141024.6</v>
      </c>
      <c r="P1016" s="1">
        <v>0</v>
      </c>
      <c r="Q1016" s="1">
        <v>0</v>
      </c>
      <c r="R1016" s="1">
        <v>0</v>
      </c>
      <c r="S1016" s="13">
        <v>3670594.92</v>
      </c>
      <c r="T1016" s="182">
        <v>2022</v>
      </c>
      <c r="U1016" s="182">
        <v>2022</v>
      </c>
    </row>
    <row r="1017" spans="1:22" ht="15.75">
      <c r="A1017" s="295" t="s">
        <v>606</v>
      </c>
      <c r="B1017" s="296"/>
      <c r="C1017" s="190"/>
      <c r="D1017" s="182"/>
      <c r="E1017" s="182"/>
      <c r="F1017" s="14">
        <f t="shared" ref="F1017:S1017" si="188">SUM(F1012:F1016)</f>
        <v>18244.599999999999</v>
      </c>
      <c r="G1017" s="14">
        <f t="shared" si="188"/>
        <v>14526</v>
      </c>
      <c r="H1017" s="27">
        <f t="shared" si="188"/>
        <v>44123056.32</v>
      </c>
      <c r="I1017" s="15">
        <f t="shared" si="188"/>
        <v>0</v>
      </c>
      <c r="J1017" s="15">
        <f t="shared" si="188"/>
        <v>5923713.2400000002</v>
      </c>
      <c r="K1017" s="15">
        <f t="shared" si="188"/>
        <v>23948352.84</v>
      </c>
      <c r="L1017" s="15">
        <f t="shared" si="188"/>
        <v>0</v>
      </c>
      <c r="M1017" s="27">
        <f t="shared" si="188"/>
        <v>12677988.65</v>
      </c>
      <c r="N1017" s="15">
        <f t="shared" si="188"/>
        <v>0</v>
      </c>
      <c r="O1017" s="27">
        <f t="shared" si="188"/>
        <v>1573001.59</v>
      </c>
      <c r="P1017" s="15">
        <f t="shared" si="188"/>
        <v>0</v>
      </c>
      <c r="Q1017" s="15">
        <f t="shared" si="188"/>
        <v>0</v>
      </c>
      <c r="R1017" s="15">
        <f t="shared" si="188"/>
        <v>0</v>
      </c>
      <c r="S1017" s="27">
        <f t="shared" si="188"/>
        <v>44123056.32</v>
      </c>
      <c r="T1017" s="16" t="s">
        <v>31</v>
      </c>
      <c r="U1017" s="16" t="s">
        <v>31</v>
      </c>
    </row>
    <row r="1018" spans="1:22" ht="15.75">
      <c r="A1018" s="292" t="s">
        <v>535</v>
      </c>
      <c r="B1018" s="293"/>
      <c r="C1018" s="293"/>
      <c r="D1018" s="293"/>
      <c r="E1018" s="293"/>
      <c r="F1018" s="293"/>
      <c r="G1018" s="293"/>
      <c r="H1018" s="293"/>
      <c r="I1018" s="293"/>
      <c r="J1018" s="293"/>
      <c r="K1018" s="293"/>
      <c r="L1018" s="293"/>
      <c r="M1018" s="293"/>
      <c r="N1018" s="293"/>
      <c r="O1018" s="293"/>
      <c r="P1018" s="293"/>
      <c r="Q1018" s="293"/>
      <c r="R1018" s="293"/>
      <c r="S1018" s="293"/>
      <c r="T1018" s="293"/>
      <c r="U1018" s="294"/>
    </row>
    <row r="1019" spans="1:22" ht="15.75">
      <c r="A1019" s="182">
        <f>A1016+1</f>
        <v>307</v>
      </c>
      <c r="B1019" s="224" t="s">
        <v>875</v>
      </c>
      <c r="C1019" s="215">
        <v>1979</v>
      </c>
      <c r="D1019" s="225"/>
      <c r="E1019" s="225"/>
      <c r="F1019" s="184">
        <v>2374.1999999999998</v>
      </c>
      <c r="G1019" s="184">
        <v>2082.1</v>
      </c>
      <c r="H1019" s="1">
        <f t="shared" ref="H1019:H1042" si="189">+I1019+J1019+K1019+L1019+M1019+O1019</f>
        <v>2493332.36</v>
      </c>
      <c r="I1019" s="1">
        <v>2493332.36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0</v>
      </c>
      <c r="S1019" s="13">
        <f t="shared" ref="S1019:S1042" si="190">H1019</f>
        <v>2493332.36</v>
      </c>
      <c r="T1019" s="182">
        <v>2022</v>
      </c>
      <c r="U1019" s="182">
        <v>2022</v>
      </c>
    </row>
    <row r="1020" spans="1:22" ht="15.75">
      <c r="A1020" s="182">
        <f t="shared" ref="A1020:A1042" si="191">A1019+1</f>
        <v>308</v>
      </c>
      <c r="B1020" s="224" t="s">
        <v>876</v>
      </c>
      <c r="C1020" s="215">
        <v>1983</v>
      </c>
      <c r="D1020" s="225"/>
      <c r="E1020" s="225"/>
      <c r="F1020" s="184">
        <v>4691.7</v>
      </c>
      <c r="G1020" s="184">
        <v>3499.7</v>
      </c>
      <c r="H1020" s="1">
        <f t="shared" si="189"/>
        <v>2879723.91</v>
      </c>
      <c r="I1020" s="1">
        <v>2879723.91</v>
      </c>
      <c r="J1020" s="1">
        <v>0</v>
      </c>
      <c r="K1020" s="1">
        <v>0</v>
      </c>
      <c r="L1020" s="1">
        <v>0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0</v>
      </c>
      <c r="S1020" s="13">
        <f t="shared" si="190"/>
        <v>2879723.91</v>
      </c>
      <c r="T1020" s="182">
        <v>2022</v>
      </c>
      <c r="U1020" s="182">
        <v>2022</v>
      </c>
    </row>
    <row r="1021" spans="1:22" ht="15.75">
      <c r="A1021" s="182">
        <f t="shared" si="191"/>
        <v>309</v>
      </c>
      <c r="B1021" s="224" t="s">
        <v>877</v>
      </c>
      <c r="C1021" s="215">
        <v>1083</v>
      </c>
      <c r="D1021" s="225"/>
      <c r="E1021" s="225"/>
      <c r="F1021" s="184">
        <v>4625.6000000000004</v>
      </c>
      <c r="G1021" s="184">
        <v>3434.8</v>
      </c>
      <c r="H1021" s="1">
        <f t="shared" si="189"/>
        <v>2829980.33</v>
      </c>
      <c r="I1021" s="1">
        <v>2829980.33</v>
      </c>
      <c r="J1021" s="1">
        <v>0</v>
      </c>
      <c r="K1021" s="1">
        <v>0</v>
      </c>
      <c r="L1021" s="1">
        <v>0</v>
      </c>
      <c r="M1021" s="1">
        <v>0</v>
      </c>
      <c r="N1021" s="1">
        <v>0</v>
      </c>
      <c r="O1021" s="1">
        <v>0</v>
      </c>
      <c r="P1021" s="1">
        <v>0</v>
      </c>
      <c r="Q1021" s="1">
        <v>0</v>
      </c>
      <c r="R1021" s="1">
        <v>0</v>
      </c>
      <c r="S1021" s="13">
        <f t="shared" si="190"/>
        <v>2829980.33</v>
      </c>
      <c r="T1021" s="182">
        <v>2022</v>
      </c>
      <c r="U1021" s="182">
        <v>2022</v>
      </c>
    </row>
    <row r="1022" spans="1:22" ht="15.75">
      <c r="A1022" s="182">
        <f t="shared" si="191"/>
        <v>310</v>
      </c>
      <c r="B1022" s="224" t="s">
        <v>878</v>
      </c>
      <c r="C1022" s="215">
        <v>1988</v>
      </c>
      <c r="D1022" s="225"/>
      <c r="E1022" s="225"/>
      <c r="F1022" s="184">
        <v>2755.9</v>
      </c>
      <c r="G1022" s="184">
        <v>2050.8000000000002</v>
      </c>
      <c r="H1022" s="1">
        <f t="shared" si="189"/>
        <v>2493380.17</v>
      </c>
      <c r="I1022" s="1">
        <v>2493380.17</v>
      </c>
      <c r="J1022" s="1">
        <v>0</v>
      </c>
      <c r="K1022" s="1">
        <v>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0</v>
      </c>
      <c r="S1022" s="13">
        <f t="shared" si="190"/>
        <v>2493380.17</v>
      </c>
      <c r="T1022" s="182">
        <v>2022</v>
      </c>
      <c r="U1022" s="182">
        <v>2022</v>
      </c>
    </row>
    <row r="1023" spans="1:22" ht="15.75">
      <c r="A1023" s="182">
        <f t="shared" si="191"/>
        <v>311</v>
      </c>
      <c r="B1023" s="224" t="s">
        <v>879</v>
      </c>
      <c r="C1023" s="215">
        <v>1987</v>
      </c>
      <c r="D1023" s="225"/>
      <c r="E1023" s="225"/>
      <c r="F1023" s="184">
        <v>7317.9</v>
      </c>
      <c r="G1023" s="184">
        <v>5464.1</v>
      </c>
      <c r="H1023" s="1">
        <f t="shared" si="189"/>
        <v>1197448.78</v>
      </c>
      <c r="I1023" s="1">
        <v>1197448.78</v>
      </c>
      <c r="J1023" s="1">
        <v>0</v>
      </c>
      <c r="K1023" s="1">
        <v>0</v>
      </c>
      <c r="L1023" s="1">
        <v>0</v>
      </c>
      <c r="M1023" s="1">
        <v>0</v>
      </c>
      <c r="N1023" s="1">
        <v>0</v>
      </c>
      <c r="O1023" s="1">
        <v>0</v>
      </c>
      <c r="P1023" s="1">
        <v>0</v>
      </c>
      <c r="Q1023" s="1">
        <v>0</v>
      </c>
      <c r="R1023" s="1">
        <v>0</v>
      </c>
      <c r="S1023" s="13">
        <f t="shared" si="190"/>
        <v>1197448.78</v>
      </c>
      <c r="T1023" s="182">
        <v>2022</v>
      </c>
      <c r="U1023" s="182">
        <v>2022</v>
      </c>
    </row>
    <row r="1024" spans="1:22" ht="15.75">
      <c r="A1024" s="182">
        <f t="shared" si="191"/>
        <v>312</v>
      </c>
      <c r="B1024" s="224" t="s">
        <v>880</v>
      </c>
      <c r="C1024" s="215">
        <v>1973</v>
      </c>
      <c r="D1024" s="225"/>
      <c r="E1024" s="225"/>
      <c r="F1024" s="184">
        <v>3108.6</v>
      </c>
      <c r="G1024" s="184">
        <v>2769.6</v>
      </c>
      <c r="H1024" s="1">
        <f t="shared" si="189"/>
        <v>1197448.78</v>
      </c>
      <c r="I1024" s="1">
        <v>1197448.78</v>
      </c>
      <c r="J1024" s="1">
        <v>0</v>
      </c>
      <c r="K1024" s="1">
        <v>0</v>
      </c>
      <c r="L1024" s="1">
        <v>0</v>
      </c>
      <c r="M1024" s="1">
        <v>0</v>
      </c>
      <c r="N1024" s="1">
        <v>0</v>
      </c>
      <c r="O1024" s="1">
        <v>0</v>
      </c>
      <c r="P1024" s="1">
        <v>0</v>
      </c>
      <c r="Q1024" s="1">
        <v>0</v>
      </c>
      <c r="R1024" s="1">
        <v>0</v>
      </c>
      <c r="S1024" s="13">
        <f t="shared" si="190"/>
        <v>1197448.78</v>
      </c>
      <c r="T1024" s="182">
        <v>2022</v>
      </c>
      <c r="U1024" s="182">
        <v>2022</v>
      </c>
    </row>
    <row r="1025" spans="1:21" ht="15.75">
      <c r="A1025" s="182">
        <f t="shared" si="191"/>
        <v>313</v>
      </c>
      <c r="B1025" s="224" t="s">
        <v>881</v>
      </c>
      <c r="C1025" s="215">
        <v>1972</v>
      </c>
      <c r="D1025" s="225"/>
      <c r="E1025" s="225"/>
      <c r="F1025" s="184">
        <v>4165</v>
      </c>
      <c r="G1025" s="184">
        <v>3135.4</v>
      </c>
      <c r="H1025" s="1">
        <f t="shared" si="189"/>
        <v>2847926.25</v>
      </c>
      <c r="I1025" s="1">
        <v>2847926.25</v>
      </c>
      <c r="J1025" s="1">
        <v>0</v>
      </c>
      <c r="K1025" s="1">
        <v>0</v>
      </c>
      <c r="L1025" s="1">
        <v>0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13">
        <f t="shared" si="190"/>
        <v>2847926.25</v>
      </c>
      <c r="T1025" s="182">
        <v>2022</v>
      </c>
      <c r="U1025" s="182">
        <v>2022</v>
      </c>
    </row>
    <row r="1026" spans="1:21" ht="15.75">
      <c r="A1026" s="182">
        <f t="shared" si="191"/>
        <v>314</v>
      </c>
      <c r="B1026" s="224" t="s">
        <v>882</v>
      </c>
      <c r="C1026" s="215">
        <v>1976</v>
      </c>
      <c r="D1026" s="225"/>
      <c r="E1026" s="225"/>
      <c r="F1026" s="184">
        <v>2980.6</v>
      </c>
      <c r="G1026" s="184">
        <v>2224.1999999999998</v>
      </c>
      <c r="H1026" s="1">
        <f t="shared" si="189"/>
        <v>2493132.15</v>
      </c>
      <c r="I1026" s="1">
        <v>2493132.15</v>
      </c>
      <c r="J1026" s="1">
        <v>0</v>
      </c>
      <c r="K1026" s="1">
        <v>0</v>
      </c>
      <c r="L1026" s="1">
        <v>0</v>
      </c>
      <c r="M1026" s="1">
        <v>0</v>
      </c>
      <c r="N1026" s="1">
        <v>0</v>
      </c>
      <c r="O1026" s="1">
        <v>0</v>
      </c>
      <c r="P1026" s="1">
        <v>0</v>
      </c>
      <c r="Q1026" s="1">
        <v>0</v>
      </c>
      <c r="R1026" s="1">
        <v>0</v>
      </c>
      <c r="S1026" s="13">
        <f t="shared" si="190"/>
        <v>2493132.15</v>
      </c>
      <c r="T1026" s="182">
        <v>2022</v>
      </c>
      <c r="U1026" s="182">
        <v>2022</v>
      </c>
    </row>
    <row r="1027" spans="1:21" ht="15.75">
      <c r="A1027" s="182">
        <f t="shared" si="191"/>
        <v>315</v>
      </c>
      <c r="B1027" s="224" t="s">
        <v>883</v>
      </c>
      <c r="C1027" s="215">
        <v>1983</v>
      </c>
      <c r="D1027" s="225"/>
      <c r="E1027" s="225"/>
      <c r="F1027" s="184">
        <v>4654.3999999999996</v>
      </c>
      <c r="G1027" s="184">
        <v>3467.8</v>
      </c>
      <c r="H1027" s="1">
        <f t="shared" si="189"/>
        <v>2270350.38</v>
      </c>
      <c r="I1027" s="1">
        <v>2270350.38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0</v>
      </c>
      <c r="S1027" s="13">
        <f t="shared" si="190"/>
        <v>2270350.38</v>
      </c>
      <c r="T1027" s="182">
        <v>2022</v>
      </c>
      <c r="U1027" s="182">
        <v>2022</v>
      </c>
    </row>
    <row r="1028" spans="1:21" ht="15.75">
      <c r="A1028" s="182">
        <f t="shared" si="191"/>
        <v>316</v>
      </c>
      <c r="B1028" s="224" t="s">
        <v>853</v>
      </c>
      <c r="C1028" s="215">
        <v>1960</v>
      </c>
      <c r="D1028" s="225"/>
      <c r="E1028" s="225"/>
      <c r="F1028" s="184">
        <v>2061.5</v>
      </c>
      <c r="G1028" s="184">
        <v>1586.9</v>
      </c>
      <c r="H1028" s="1">
        <f t="shared" si="189"/>
        <v>4610879.3499999996</v>
      </c>
      <c r="I1028" s="1">
        <v>0</v>
      </c>
      <c r="J1028" s="1">
        <v>0</v>
      </c>
      <c r="K1028" s="1">
        <v>4610879.3499999996</v>
      </c>
      <c r="L1028" s="1">
        <v>0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0</v>
      </c>
      <c r="S1028" s="13">
        <f t="shared" si="190"/>
        <v>4610879.3499999996</v>
      </c>
      <c r="T1028" s="182">
        <v>2022</v>
      </c>
      <c r="U1028" s="182">
        <v>2022</v>
      </c>
    </row>
    <row r="1029" spans="1:21" ht="15.75">
      <c r="A1029" s="182">
        <f t="shared" si="191"/>
        <v>317</v>
      </c>
      <c r="B1029" s="224" t="s">
        <v>884</v>
      </c>
      <c r="C1029" s="215">
        <v>1966</v>
      </c>
      <c r="D1029" s="225"/>
      <c r="E1029" s="225"/>
      <c r="F1029" s="184">
        <v>4195.8</v>
      </c>
      <c r="G1029" s="184">
        <v>3636.4</v>
      </c>
      <c r="H1029" s="1">
        <f t="shared" si="189"/>
        <v>7769642.2999999998</v>
      </c>
      <c r="I1029" s="1">
        <v>0</v>
      </c>
      <c r="J1029" s="1">
        <v>0</v>
      </c>
      <c r="K1029" s="1">
        <v>0</v>
      </c>
      <c r="L1029" s="1">
        <v>0</v>
      </c>
      <c r="M1029" s="1">
        <v>7769642.2999999998</v>
      </c>
      <c r="N1029" s="1">
        <v>0</v>
      </c>
      <c r="O1029" s="1">
        <v>0</v>
      </c>
      <c r="P1029" s="1">
        <v>0</v>
      </c>
      <c r="Q1029" s="1">
        <v>0</v>
      </c>
      <c r="R1029" s="1">
        <v>0</v>
      </c>
      <c r="S1029" s="13">
        <f t="shared" si="190"/>
        <v>7769642.2999999998</v>
      </c>
      <c r="T1029" s="182">
        <v>2022</v>
      </c>
      <c r="U1029" s="182">
        <v>2022</v>
      </c>
    </row>
    <row r="1030" spans="1:21" ht="15.75">
      <c r="A1030" s="182">
        <f t="shared" si="191"/>
        <v>318</v>
      </c>
      <c r="B1030" s="224" t="s">
        <v>885</v>
      </c>
      <c r="C1030" s="215">
        <v>1965</v>
      </c>
      <c r="D1030" s="225"/>
      <c r="E1030" s="225"/>
      <c r="F1030" s="184">
        <v>4405.7</v>
      </c>
      <c r="G1030" s="184">
        <v>3509.3</v>
      </c>
      <c r="H1030" s="1">
        <f t="shared" si="189"/>
        <v>6301670.6399999997</v>
      </c>
      <c r="I1030" s="1">
        <v>0</v>
      </c>
      <c r="J1030" s="1">
        <v>0</v>
      </c>
      <c r="K1030" s="1">
        <v>6301670.6399999997</v>
      </c>
      <c r="L1030" s="1">
        <v>0</v>
      </c>
      <c r="M1030" s="1">
        <v>0</v>
      </c>
      <c r="N1030" s="1">
        <v>0</v>
      </c>
      <c r="O1030" s="1">
        <v>0</v>
      </c>
      <c r="P1030" s="1">
        <v>0</v>
      </c>
      <c r="Q1030" s="1">
        <v>0</v>
      </c>
      <c r="R1030" s="1">
        <v>0</v>
      </c>
      <c r="S1030" s="13">
        <f t="shared" si="190"/>
        <v>6301670.6399999997</v>
      </c>
      <c r="T1030" s="182">
        <v>2022</v>
      </c>
      <c r="U1030" s="182">
        <v>2022</v>
      </c>
    </row>
    <row r="1031" spans="1:21" ht="15.75">
      <c r="A1031" s="182">
        <f t="shared" si="191"/>
        <v>319</v>
      </c>
      <c r="B1031" s="224" t="s">
        <v>854</v>
      </c>
      <c r="C1031" s="215">
        <v>1985</v>
      </c>
      <c r="D1031" s="225"/>
      <c r="E1031" s="225"/>
      <c r="F1031" s="184">
        <v>1662.6</v>
      </c>
      <c r="G1031" s="184">
        <v>1177.0999999999999</v>
      </c>
      <c r="H1031" s="1">
        <f t="shared" si="189"/>
        <v>1920638.09</v>
      </c>
      <c r="I1031" s="1">
        <v>0</v>
      </c>
      <c r="J1031" s="1">
        <v>0</v>
      </c>
      <c r="K1031" s="1">
        <v>1920638.09</v>
      </c>
      <c r="L1031" s="1">
        <v>0</v>
      </c>
      <c r="M1031" s="1">
        <v>0</v>
      </c>
      <c r="N1031" s="1">
        <v>0</v>
      </c>
      <c r="O1031" s="1">
        <v>0</v>
      </c>
      <c r="P1031" s="1">
        <v>0</v>
      </c>
      <c r="Q1031" s="1">
        <v>0</v>
      </c>
      <c r="R1031" s="1">
        <v>0</v>
      </c>
      <c r="S1031" s="13">
        <f t="shared" si="190"/>
        <v>1920638.09</v>
      </c>
      <c r="T1031" s="182">
        <v>2022</v>
      </c>
      <c r="U1031" s="182">
        <v>2022</v>
      </c>
    </row>
    <row r="1032" spans="1:21" ht="15.75">
      <c r="A1032" s="182">
        <f t="shared" si="191"/>
        <v>320</v>
      </c>
      <c r="B1032" s="224" t="s">
        <v>855</v>
      </c>
      <c r="C1032" s="215">
        <v>1962</v>
      </c>
      <c r="D1032" s="225"/>
      <c r="E1032" s="225"/>
      <c r="F1032" s="184">
        <v>3210.2</v>
      </c>
      <c r="G1032" s="184">
        <v>2983</v>
      </c>
      <c r="H1032" s="1">
        <f t="shared" si="189"/>
        <v>9145404.2400000002</v>
      </c>
      <c r="I1032" s="1">
        <v>0</v>
      </c>
      <c r="J1032" s="1">
        <v>0</v>
      </c>
      <c r="K1032" s="1">
        <v>9145404.2400000002</v>
      </c>
      <c r="L1032" s="1">
        <v>0</v>
      </c>
      <c r="M1032" s="1">
        <v>0</v>
      </c>
      <c r="N1032" s="1">
        <v>0</v>
      </c>
      <c r="O1032" s="1">
        <v>0</v>
      </c>
      <c r="P1032" s="1">
        <v>0</v>
      </c>
      <c r="Q1032" s="1">
        <v>0</v>
      </c>
      <c r="R1032" s="1">
        <v>0</v>
      </c>
      <c r="S1032" s="13">
        <f t="shared" si="190"/>
        <v>9145404.2400000002</v>
      </c>
      <c r="T1032" s="182">
        <v>2022</v>
      </c>
      <c r="U1032" s="182">
        <v>2022</v>
      </c>
    </row>
    <row r="1033" spans="1:21" ht="15.75">
      <c r="A1033" s="182">
        <f t="shared" si="191"/>
        <v>321</v>
      </c>
      <c r="B1033" s="224" t="s">
        <v>886</v>
      </c>
      <c r="C1033" s="215">
        <v>1981</v>
      </c>
      <c r="D1033" s="225"/>
      <c r="E1033" s="225"/>
      <c r="F1033" s="184">
        <v>2830.9</v>
      </c>
      <c r="G1033" s="184">
        <v>2075.6999999999998</v>
      </c>
      <c r="H1033" s="1">
        <f t="shared" si="189"/>
        <v>3269167.4</v>
      </c>
      <c r="I1033" s="1">
        <v>0</v>
      </c>
      <c r="J1033" s="1">
        <v>0</v>
      </c>
      <c r="K1033" s="1">
        <v>3269167.4</v>
      </c>
      <c r="L1033" s="1">
        <v>0</v>
      </c>
      <c r="M1033" s="1">
        <v>0</v>
      </c>
      <c r="N1033" s="1">
        <v>0</v>
      </c>
      <c r="O1033" s="1">
        <v>0</v>
      </c>
      <c r="P1033" s="1">
        <v>0</v>
      </c>
      <c r="Q1033" s="1">
        <v>0</v>
      </c>
      <c r="R1033" s="1">
        <v>0</v>
      </c>
      <c r="S1033" s="13">
        <f t="shared" si="190"/>
        <v>3269167.4</v>
      </c>
      <c r="T1033" s="182">
        <v>2022</v>
      </c>
      <c r="U1033" s="182">
        <v>2022</v>
      </c>
    </row>
    <row r="1034" spans="1:21" ht="15.75">
      <c r="A1034" s="182">
        <f t="shared" si="191"/>
        <v>322</v>
      </c>
      <c r="B1034" s="224" t="s">
        <v>1051</v>
      </c>
      <c r="C1034" s="215">
        <v>1972</v>
      </c>
      <c r="D1034" s="225"/>
      <c r="E1034" s="225"/>
      <c r="F1034" s="184">
        <v>4797.2</v>
      </c>
      <c r="G1034" s="184">
        <v>4119.2</v>
      </c>
      <c r="H1034" s="1">
        <f t="shared" si="189"/>
        <v>7336992.71</v>
      </c>
      <c r="I1034" s="1">
        <v>0</v>
      </c>
      <c r="J1034" s="1">
        <v>0</v>
      </c>
      <c r="K1034" s="1">
        <v>0</v>
      </c>
      <c r="L1034" s="1">
        <v>0</v>
      </c>
      <c r="M1034" s="1">
        <v>7336992.71</v>
      </c>
      <c r="N1034" s="1">
        <v>0</v>
      </c>
      <c r="O1034" s="1">
        <v>0</v>
      </c>
      <c r="P1034" s="1">
        <v>0</v>
      </c>
      <c r="Q1034" s="1">
        <v>0</v>
      </c>
      <c r="R1034" s="1">
        <v>0</v>
      </c>
      <c r="S1034" s="13">
        <f t="shared" si="190"/>
        <v>7336992.71</v>
      </c>
      <c r="T1034" s="182">
        <v>2022</v>
      </c>
      <c r="U1034" s="182">
        <v>2022</v>
      </c>
    </row>
    <row r="1035" spans="1:21" ht="15.75">
      <c r="A1035" s="182">
        <f t="shared" si="191"/>
        <v>323</v>
      </c>
      <c r="B1035" s="224" t="s">
        <v>887</v>
      </c>
      <c r="C1035" s="215">
        <v>1988</v>
      </c>
      <c r="D1035" s="225"/>
      <c r="E1035" s="225"/>
      <c r="F1035" s="184">
        <v>4305.3999999999996</v>
      </c>
      <c r="G1035" s="184">
        <v>3396.6</v>
      </c>
      <c r="H1035" s="1">
        <f t="shared" si="189"/>
        <v>6073083.5599999996</v>
      </c>
      <c r="I1035" s="1">
        <v>0</v>
      </c>
      <c r="J1035" s="1">
        <v>5905099.7199999997</v>
      </c>
      <c r="K1035" s="1">
        <v>0</v>
      </c>
      <c r="L1035" s="1">
        <v>0</v>
      </c>
      <c r="M1035" s="1">
        <v>0</v>
      </c>
      <c r="N1035" s="1">
        <v>0</v>
      </c>
      <c r="O1035" s="1">
        <v>167983.84</v>
      </c>
      <c r="P1035" s="1">
        <v>0</v>
      </c>
      <c r="Q1035" s="1">
        <v>0</v>
      </c>
      <c r="R1035" s="1">
        <v>0</v>
      </c>
      <c r="S1035" s="13">
        <f t="shared" si="190"/>
        <v>6073083.5599999996</v>
      </c>
      <c r="T1035" s="182">
        <v>2022</v>
      </c>
      <c r="U1035" s="182">
        <v>2022</v>
      </c>
    </row>
    <row r="1036" spans="1:21" ht="15.75">
      <c r="A1036" s="182">
        <f t="shared" si="191"/>
        <v>324</v>
      </c>
      <c r="B1036" s="224" t="s">
        <v>856</v>
      </c>
      <c r="C1036" s="215">
        <v>1986</v>
      </c>
      <c r="D1036" s="225"/>
      <c r="E1036" s="225"/>
      <c r="F1036" s="184">
        <v>8560.5</v>
      </c>
      <c r="G1036" s="184">
        <v>6737.9</v>
      </c>
      <c r="H1036" s="1">
        <f t="shared" si="189"/>
        <v>6075603.3200000003</v>
      </c>
      <c r="I1036" s="1">
        <v>0</v>
      </c>
      <c r="J1036" s="1">
        <v>6075603.3200000003</v>
      </c>
      <c r="K1036" s="1">
        <v>0</v>
      </c>
      <c r="L1036" s="1">
        <v>0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0</v>
      </c>
      <c r="S1036" s="13">
        <f t="shared" si="190"/>
        <v>6075603.3200000003</v>
      </c>
      <c r="T1036" s="182">
        <v>2022</v>
      </c>
      <c r="U1036" s="182">
        <v>2022</v>
      </c>
    </row>
    <row r="1037" spans="1:21" ht="15.75">
      <c r="A1037" s="182">
        <f t="shared" si="191"/>
        <v>325</v>
      </c>
      <c r="B1037" s="224" t="s">
        <v>888</v>
      </c>
      <c r="C1037" s="215">
        <v>1988</v>
      </c>
      <c r="D1037" s="225"/>
      <c r="E1037" s="225"/>
      <c r="F1037" s="184">
        <v>3924.6</v>
      </c>
      <c r="G1037" s="184">
        <v>3451.3</v>
      </c>
      <c r="H1037" s="1">
        <f t="shared" si="189"/>
        <v>6073083.5599999996</v>
      </c>
      <c r="I1037" s="1">
        <v>0</v>
      </c>
      <c r="J1037" s="1">
        <v>5905099.7199999997</v>
      </c>
      <c r="K1037" s="1">
        <v>0</v>
      </c>
      <c r="L1037" s="1">
        <v>0</v>
      </c>
      <c r="M1037" s="1">
        <v>0</v>
      </c>
      <c r="N1037" s="1">
        <v>0</v>
      </c>
      <c r="O1037" s="1">
        <v>167983.84</v>
      </c>
      <c r="P1037" s="1">
        <v>0</v>
      </c>
      <c r="Q1037" s="1">
        <v>0</v>
      </c>
      <c r="R1037" s="1">
        <v>0</v>
      </c>
      <c r="S1037" s="13">
        <f t="shared" si="190"/>
        <v>6073083.5599999996</v>
      </c>
      <c r="T1037" s="182">
        <v>2022</v>
      </c>
      <c r="U1037" s="182">
        <v>2022</v>
      </c>
    </row>
    <row r="1038" spans="1:21" ht="15.75">
      <c r="A1038" s="182">
        <f t="shared" si="191"/>
        <v>326</v>
      </c>
      <c r="B1038" s="224" t="s">
        <v>1074</v>
      </c>
      <c r="C1038" s="215">
        <v>1985</v>
      </c>
      <c r="D1038" s="226"/>
      <c r="E1038" s="226"/>
      <c r="F1038" s="184">
        <v>10415</v>
      </c>
      <c r="G1038" s="184">
        <v>9258</v>
      </c>
      <c r="H1038" s="1">
        <f t="shared" si="189"/>
        <v>2394897.5499999998</v>
      </c>
      <c r="I1038" s="1">
        <v>2394897.5499999998</v>
      </c>
      <c r="J1038" s="1"/>
      <c r="K1038" s="1">
        <v>0</v>
      </c>
      <c r="L1038" s="1">
        <v>0</v>
      </c>
      <c r="M1038" s="1">
        <v>0</v>
      </c>
      <c r="N1038" s="1">
        <v>0</v>
      </c>
      <c r="O1038" s="1"/>
      <c r="P1038" s="1">
        <v>0</v>
      </c>
      <c r="Q1038" s="1">
        <v>0</v>
      </c>
      <c r="R1038" s="1">
        <v>0</v>
      </c>
      <c r="S1038" s="13">
        <f t="shared" si="190"/>
        <v>2394897.5499999998</v>
      </c>
      <c r="T1038" s="182">
        <v>2022</v>
      </c>
      <c r="U1038" s="182">
        <v>2022</v>
      </c>
    </row>
    <row r="1039" spans="1:21" ht="15.75">
      <c r="A1039" s="182">
        <f t="shared" si="191"/>
        <v>327</v>
      </c>
      <c r="B1039" s="224" t="s">
        <v>889</v>
      </c>
      <c r="C1039" s="215">
        <v>1981</v>
      </c>
      <c r="D1039" s="225"/>
      <c r="E1039" s="225"/>
      <c r="F1039" s="184">
        <v>13984.8</v>
      </c>
      <c r="G1039" s="184">
        <v>12316</v>
      </c>
      <c r="H1039" s="1">
        <f t="shared" si="189"/>
        <v>2394897.5499999998</v>
      </c>
      <c r="I1039" s="1">
        <v>2394897.5499999998</v>
      </c>
      <c r="J1039" s="1">
        <v>0</v>
      </c>
      <c r="K1039" s="1">
        <v>0</v>
      </c>
      <c r="L1039" s="1">
        <v>0</v>
      </c>
      <c r="M1039" s="1">
        <v>0</v>
      </c>
      <c r="N1039" s="1">
        <v>0</v>
      </c>
      <c r="O1039" s="1">
        <v>0</v>
      </c>
      <c r="P1039" s="1">
        <v>0</v>
      </c>
      <c r="Q1039" s="1">
        <v>0</v>
      </c>
      <c r="R1039" s="1">
        <v>0</v>
      </c>
      <c r="S1039" s="13">
        <f t="shared" si="190"/>
        <v>2394897.5499999998</v>
      </c>
      <c r="T1039" s="182">
        <v>2022</v>
      </c>
      <c r="U1039" s="182">
        <v>2022</v>
      </c>
    </row>
    <row r="1040" spans="1:21" ht="15.75">
      <c r="A1040" s="182">
        <f t="shared" si="191"/>
        <v>328</v>
      </c>
      <c r="B1040" s="224" t="s">
        <v>890</v>
      </c>
      <c r="C1040" s="215">
        <v>1979</v>
      </c>
      <c r="D1040" s="225"/>
      <c r="E1040" s="225"/>
      <c r="F1040" s="184">
        <v>8083.4</v>
      </c>
      <c r="G1040" s="184">
        <v>7113</v>
      </c>
      <c r="H1040" s="1">
        <f t="shared" si="189"/>
        <v>5656204.6699999999</v>
      </c>
      <c r="I1040" s="1">
        <v>5656204.6699999999</v>
      </c>
      <c r="J1040" s="1">
        <v>0</v>
      </c>
      <c r="K1040" s="1">
        <v>0</v>
      </c>
      <c r="L1040" s="1">
        <v>0</v>
      </c>
      <c r="M1040" s="1">
        <v>0</v>
      </c>
      <c r="N1040" s="1">
        <v>0</v>
      </c>
      <c r="O1040" s="1">
        <v>0</v>
      </c>
      <c r="P1040" s="1">
        <v>0</v>
      </c>
      <c r="Q1040" s="1">
        <v>0</v>
      </c>
      <c r="R1040" s="1">
        <v>0</v>
      </c>
      <c r="S1040" s="13">
        <f t="shared" si="190"/>
        <v>5656204.6699999999</v>
      </c>
      <c r="T1040" s="182">
        <v>2022</v>
      </c>
      <c r="U1040" s="182">
        <v>2022</v>
      </c>
    </row>
    <row r="1041" spans="1:21" ht="15" customHeight="1">
      <c r="A1041" s="182">
        <f t="shared" si="191"/>
        <v>329</v>
      </c>
      <c r="B1041" s="224" t="s">
        <v>891</v>
      </c>
      <c r="C1041" s="215">
        <v>1975</v>
      </c>
      <c r="D1041" s="225"/>
      <c r="E1041" s="225"/>
      <c r="F1041" s="184">
        <v>5432.7</v>
      </c>
      <c r="G1041" s="184">
        <v>4075.2</v>
      </c>
      <c r="H1041" s="1">
        <f t="shared" si="189"/>
        <v>222044.4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0</v>
      </c>
      <c r="O1041" s="1">
        <v>222044.4</v>
      </c>
      <c r="P1041" s="1">
        <v>0</v>
      </c>
      <c r="Q1041" s="1">
        <v>0</v>
      </c>
      <c r="R1041" s="1">
        <v>0</v>
      </c>
      <c r="S1041" s="13">
        <f t="shared" si="190"/>
        <v>222044.4</v>
      </c>
      <c r="T1041" s="182">
        <v>2022</v>
      </c>
      <c r="U1041" s="182">
        <v>2022</v>
      </c>
    </row>
    <row r="1042" spans="1:21" ht="15.75">
      <c r="A1042" s="182">
        <f t="shared" si="191"/>
        <v>330</v>
      </c>
      <c r="B1042" s="224" t="s">
        <v>892</v>
      </c>
      <c r="C1042" s="215">
        <v>1938</v>
      </c>
      <c r="D1042" s="225"/>
      <c r="E1042" s="225"/>
      <c r="F1042" s="184">
        <v>2446.8000000000002</v>
      </c>
      <c r="G1042" s="184">
        <v>2200.6</v>
      </c>
      <c r="H1042" s="1">
        <f t="shared" si="189"/>
        <v>203392.8</v>
      </c>
      <c r="I1042" s="1">
        <v>0</v>
      </c>
      <c r="J1042" s="1">
        <v>0</v>
      </c>
      <c r="K1042" s="1">
        <v>0</v>
      </c>
      <c r="L1042" s="1">
        <v>0</v>
      </c>
      <c r="M1042" s="1"/>
      <c r="N1042" s="1">
        <v>0</v>
      </c>
      <c r="O1042" s="1">
        <v>203392.8</v>
      </c>
      <c r="P1042" s="1">
        <v>0</v>
      </c>
      <c r="Q1042" s="1">
        <v>0</v>
      </c>
      <c r="R1042" s="1">
        <v>0</v>
      </c>
      <c r="S1042" s="13">
        <f t="shared" si="190"/>
        <v>203392.8</v>
      </c>
      <c r="T1042" s="182">
        <v>2022</v>
      </c>
      <c r="U1042" s="182">
        <v>2022</v>
      </c>
    </row>
    <row r="1043" spans="1:21" ht="15.75">
      <c r="A1043" s="287" t="s">
        <v>606</v>
      </c>
      <c r="B1043" s="287"/>
      <c r="C1043" s="227"/>
      <c r="D1043" s="179"/>
      <c r="E1043" s="179"/>
      <c r="F1043" s="35">
        <f t="shared" ref="F1043:S1043" si="192">SUM(F1019:F1042)</f>
        <v>116991</v>
      </c>
      <c r="G1043" s="35">
        <f t="shared" si="192"/>
        <v>95764.7</v>
      </c>
      <c r="H1043" s="27">
        <f t="shared" si="192"/>
        <v>90150325.25</v>
      </c>
      <c r="I1043" s="27">
        <f t="shared" si="192"/>
        <v>31148722.879999999</v>
      </c>
      <c r="J1043" s="27">
        <f t="shared" si="192"/>
        <v>17885802.760000002</v>
      </c>
      <c r="K1043" s="27">
        <f t="shared" si="192"/>
        <v>25247759.719999999</v>
      </c>
      <c r="L1043" s="15">
        <f t="shared" si="192"/>
        <v>0</v>
      </c>
      <c r="M1043" s="15">
        <f t="shared" si="192"/>
        <v>15106635.01</v>
      </c>
      <c r="N1043" s="15">
        <f t="shared" si="192"/>
        <v>0</v>
      </c>
      <c r="O1043" s="27">
        <f t="shared" si="192"/>
        <v>761404.88</v>
      </c>
      <c r="P1043" s="15">
        <f t="shared" si="192"/>
        <v>0</v>
      </c>
      <c r="Q1043" s="15">
        <f t="shared" si="192"/>
        <v>0</v>
      </c>
      <c r="R1043" s="15">
        <f t="shared" si="192"/>
        <v>0</v>
      </c>
      <c r="S1043" s="27">
        <f t="shared" si="192"/>
        <v>90150325.25</v>
      </c>
      <c r="T1043" s="16" t="s">
        <v>31</v>
      </c>
      <c r="U1043" s="16" t="s">
        <v>31</v>
      </c>
    </row>
    <row r="1044" spans="1:21" ht="15.75">
      <c r="A1044" s="291" t="s">
        <v>557</v>
      </c>
      <c r="B1044" s="291"/>
      <c r="C1044" s="291"/>
      <c r="D1044" s="291"/>
      <c r="E1044" s="291"/>
      <c r="F1044" s="291"/>
      <c r="G1044" s="291"/>
      <c r="H1044" s="291"/>
      <c r="I1044" s="291"/>
      <c r="J1044" s="291"/>
      <c r="K1044" s="291"/>
      <c r="L1044" s="291"/>
      <c r="M1044" s="291"/>
      <c r="N1044" s="291"/>
      <c r="O1044" s="291"/>
      <c r="P1044" s="291"/>
      <c r="Q1044" s="291"/>
      <c r="R1044" s="291"/>
      <c r="S1044" s="291"/>
      <c r="T1044" s="291"/>
      <c r="U1044" s="291"/>
    </row>
    <row r="1045" spans="1:21" ht="15.75">
      <c r="A1045" s="182">
        <f>A1042+1</f>
        <v>331</v>
      </c>
      <c r="B1045" s="228" t="s">
        <v>740</v>
      </c>
      <c r="C1045" s="190">
        <v>1991</v>
      </c>
      <c r="D1045" s="182"/>
      <c r="E1045" s="182"/>
      <c r="F1045" s="180">
        <v>4719.6000000000004</v>
      </c>
      <c r="G1045" s="180">
        <v>3963.1</v>
      </c>
      <c r="H1045" s="1">
        <f t="shared" ref="H1045:H1057" si="193">I1045+J1045+K1045+L1045+M1045+N1045+O1045</f>
        <v>14506018.630000001</v>
      </c>
      <c r="I1045" s="1">
        <v>0</v>
      </c>
      <c r="J1045" s="1">
        <v>0</v>
      </c>
      <c r="K1045" s="1">
        <f>ROUND(3517.3*G1045*1.015,2)</f>
        <v>14148502.800000001</v>
      </c>
      <c r="L1045" s="1">
        <v>0</v>
      </c>
      <c r="M1045" s="1">
        <v>0</v>
      </c>
      <c r="N1045" s="1">
        <v>0</v>
      </c>
      <c r="O1045" s="229">
        <v>357515.83</v>
      </c>
      <c r="P1045" s="1">
        <v>0</v>
      </c>
      <c r="Q1045" s="1">
        <v>0</v>
      </c>
      <c r="R1045" s="1">
        <v>0</v>
      </c>
      <c r="S1045" s="13">
        <f>H1045</f>
        <v>14506018.630000001</v>
      </c>
      <c r="T1045" s="182">
        <v>2022</v>
      </c>
      <c r="U1045" s="182">
        <v>2022</v>
      </c>
    </row>
    <row r="1046" spans="1:21" ht="15.75">
      <c r="A1046" s="182">
        <f t="shared" ref="A1046:A1057" si="194">A1045+1</f>
        <v>332</v>
      </c>
      <c r="B1046" s="228" t="s">
        <v>847</v>
      </c>
      <c r="C1046" s="190">
        <v>1978</v>
      </c>
      <c r="D1046" s="230"/>
      <c r="E1046" s="230"/>
      <c r="F1046" s="180">
        <v>3951.3</v>
      </c>
      <c r="G1046" s="180">
        <v>3859.8</v>
      </c>
      <c r="H1046" s="1">
        <f t="shared" si="193"/>
        <v>8646525.0399999991</v>
      </c>
      <c r="I1046" s="1">
        <v>0</v>
      </c>
      <c r="J1046" s="49">
        <v>0</v>
      </c>
      <c r="K1046" s="49">
        <v>0</v>
      </c>
      <c r="L1046" s="49">
        <v>0</v>
      </c>
      <c r="M1046" s="1">
        <v>8157099.0899999999</v>
      </c>
      <c r="N1046" s="49">
        <v>0</v>
      </c>
      <c r="O1046" s="220">
        <v>489425.95</v>
      </c>
      <c r="P1046" s="1">
        <v>0</v>
      </c>
      <c r="Q1046" s="1">
        <f t="shared" ref="Q1046:Q1055" si="195">H1046</f>
        <v>8646525.0399999991</v>
      </c>
      <c r="R1046" s="1">
        <v>0</v>
      </c>
      <c r="S1046" s="1">
        <v>0</v>
      </c>
      <c r="T1046" s="182">
        <v>2022</v>
      </c>
      <c r="U1046" s="182">
        <v>2023</v>
      </c>
    </row>
    <row r="1047" spans="1:21" ht="15.75">
      <c r="A1047" s="182">
        <f t="shared" si="194"/>
        <v>333</v>
      </c>
      <c r="B1047" s="228" t="s">
        <v>838</v>
      </c>
      <c r="C1047" s="190">
        <v>1963</v>
      </c>
      <c r="D1047" s="182"/>
      <c r="E1047" s="182"/>
      <c r="F1047" s="180">
        <v>4112.6000000000004</v>
      </c>
      <c r="G1047" s="180">
        <v>3177.5</v>
      </c>
      <c r="H1047" s="1">
        <f t="shared" si="193"/>
        <v>8868884.9600000009</v>
      </c>
      <c r="I1047" s="1">
        <v>0</v>
      </c>
      <c r="J1047" s="1">
        <v>0</v>
      </c>
      <c r="K1047" s="1">
        <v>0</v>
      </c>
      <c r="L1047" s="1">
        <v>0</v>
      </c>
      <c r="M1047" s="1">
        <v>8366872.5999999996</v>
      </c>
      <c r="N1047" s="1">
        <v>0</v>
      </c>
      <c r="O1047" s="220">
        <v>502012.36</v>
      </c>
      <c r="P1047" s="1">
        <v>0</v>
      </c>
      <c r="Q1047" s="1">
        <f t="shared" si="195"/>
        <v>8868884.9600000009</v>
      </c>
      <c r="R1047" s="1">
        <v>0</v>
      </c>
      <c r="S1047" s="1">
        <v>0</v>
      </c>
      <c r="T1047" s="182">
        <v>2022</v>
      </c>
      <c r="U1047" s="182">
        <v>2023</v>
      </c>
    </row>
    <row r="1048" spans="1:21" ht="15.75">
      <c r="A1048" s="182">
        <f t="shared" si="194"/>
        <v>334</v>
      </c>
      <c r="B1048" s="228" t="s">
        <v>839</v>
      </c>
      <c r="C1048" s="190">
        <v>1963</v>
      </c>
      <c r="D1048" s="182"/>
      <c r="E1048" s="182"/>
      <c r="F1048" s="180">
        <v>3438.5</v>
      </c>
      <c r="G1048" s="180">
        <v>3168.5</v>
      </c>
      <c r="H1048" s="1">
        <f t="shared" si="193"/>
        <v>8868884.9600000009</v>
      </c>
      <c r="I1048" s="1">
        <v>0</v>
      </c>
      <c r="J1048" s="1">
        <v>0</v>
      </c>
      <c r="K1048" s="1">
        <v>0</v>
      </c>
      <c r="L1048" s="1">
        <v>0</v>
      </c>
      <c r="M1048" s="1">
        <v>8366872.5999999996</v>
      </c>
      <c r="N1048" s="1">
        <v>0</v>
      </c>
      <c r="O1048" s="229">
        <v>502012.36</v>
      </c>
      <c r="P1048" s="1">
        <v>0</v>
      </c>
      <c r="Q1048" s="1">
        <f t="shared" si="195"/>
        <v>8868884.9600000009</v>
      </c>
      <c r="R1048" s="1">
        <v>0</v>
      </c>
      <c r="S1048" s="1">
        <v>0</v>
      </c>
      <c r="T1048" s="182">
        <v>2022</v>
      </c>
      <c r="U1048" s="182">
        <v>2023</v>
      </c>
    </row>
    <row r="1049" spans="1:21" ht="15.75">
      <c r="A1049" s="182">
        <f t="shared" si="194"/>
        <v>335</v>
      </c>
      <c r="B1049" s="228" t="s">
        <v>840</v>
      </c>
      <c r="C1049" s="190">
        <v>1962</v>
      </c>
      <c r="D1049" s="182"/>
      <c r="E1049" s="182"/>
      <c r="F1049" s="180">
        <v>4111.8999999999996</v>
      </c>
      <c r="G1049" s="180">
        <v>3165.2</v>
      </c>
      <c r="H1049" s="1">
        <f t="shared" si="193"/>
        <v>8868884.9600000009</v>
      </c>
      <c r="I1049" s="49">
        <v>0</v>
      </c>
      <c r="J1049" s="1">
        <v>0</v>
      </c>
      <c r="K1049" s="1">
        <v>0</v>
      </c>
      <c r="L1049" s="1">
        <v>0</v>
      </c>
      <c r="M1049" s="1">
        <v>8366872.5999999996</v>
      </c>
      <c r="N1049" s="1">
        <v>0</v>
      </c>
      <c r="O1049" s="220">
        <v>502012.36</v>
      </c>
      <c r="P1049" s="1">
        <v>0</v>
      </c>
      <c r="Q1049" s="1">
        <f t="shared" si="195"/>
        <v>8868884.9600000009</v>
      </c>
      <c r="R1049" s="1">
        <v>0</v>
      </c>
      <c r="S1049" s="1">
        <v>0</v>
      </c>
      <c r="T1049" s="182">
        <v>2022</v>
      </c>
      <c r="U1049" s="182">
        <v>2023</v>
      </c>
    </row>
    <row r="1050" spans="1:21" ht="15.75">
      <c r="A1050" s="182">
        <f t="shared" si="194"/>
        <v>336</v>
      </c>
      <c r="B1050" s="228" t="s">
        <v>841</v>
      </c>
      <c r="C1050" s="190">
        <v>1971</v>
      </c>
      <c r="D1050" s="182"/>
      <c r="E1050" s="182"/>
      <c r="F1050" s="180">
        <v>2850.8</v>
      </c>
      <c r="G1050" s="180">
        <v>2343.9</v>
      </c>
      <c r="H1050" s="1">
        <f t="shared" si="193"/>
        <v>6601369.2000000002</v>
      </c>
      <c r="I1050" s="1">
        <v>0</v>
      </c>
      <c r="J1050" s="1">
        <v>0</v>
      </c>
      <c r="K1050" s="1">
        <v>0</v>
      </c>
      <c r="L1050" s="1">
        <v>0</v>
      </c>
      <c r="M1050" s="1">
        <v>6227706.79</v>
      </c>
      <c r="N1050" s="1">
        <v>0</v>
      </c>
      <c r="O1050" s="220">
        <v>373662.41</v>
      </c>
      <c r="P1050" s="1">
        <v>0</v>
      </c>
      <c r="Q1050" s="1">
        <f t="shared" si="195"/>
        <v>6601369.2000000002</v>
      </c>
      <c r="R1050" s="1">
        <v>0</v>
      </c>
      <c r="S1050" s="1">
        <v>0</v>
      </c>
      <c r="T1050" s="182">
        <v>2022</v>
      </c>
      <c r="U1050" s="182">
        <v>2023</v>
      </c>
    </row>
    <row r="1051" spans="1:21" ht="15.75">
      <c r="A1051" s="182">
        <f t="shared" si="194"/>
        <v>337</v>
      </c>
      <c r="B1051" s="228" t="s">
        <v>843</v>
      </c>
      <c r="C1051" s="190">
        <v>1972</v>
      </c>
      <c r="D1051" s="182"/>
      <c r="E1051" s="182"/>
      <c r="F1051" s="180">
        <v>2829.3</v>
      </c>
      <c r="G1051" s="180">
        <v>2377.6</v>
      </c>
      <c r="H1051" s="1">
        <f t="shared" si="193"/>
        <v>6601369.2000000002</v>
      </c>
      <c r="I1051" s="1">
        <v>0</v>
      </c>
      <c r="J1051" s="1">
        <v>0</v>
      </c>
      <c r="K1051" s="1">
        <v>0</v>
      </c>
      <c r="L1051" s="1">
        <v>0</v>
      </c>
      <c r="M1051" s="1">
        <v>6227706.79</v>
      </c>
      <c r="N1051" s="1">
        <v>0</v>
      </c>
      <c r="O1051" s="220">
        <v>373662.41</v>
      </c>
      <c r="P1051" s="1">
        <v>0</v>
      </c>
      <c r="Q1051" s="1">
        <f t="shared" si="195"/>
        <v>6601369.2000000002</v>
      </c>
      <c r="R1051" s="1">
        <v>0</v>
      </c>
      <c r="S1051" s="1">
        <v>0</v>
      </c>
      <c r="T1051" s="182">
        <v>2022</v>
      </c>
      <c r="U1051" s="182">
        <v>2023</v>
      </c>
    </row>
    <row r="1052" spans="1:21" ht="15.75">
      <c r="A1052" s="182">
        <f t="shared" si="194"/>
        <v>338</v>
      </c>
      <c r="B1052" s="228" t="s">
        <v>842</v>
      </c>
      <c r="C1052" s="190">
        <v>1972</v>
      </c>
      <c r="D1052" s="182"/>
      <c r="E1052" s="182"/>
      <c r="F1052" s="180">
        <v>2785.3</v>
      </c>
      <c r="G1052" s="180">
        <v>2313.9</v>
      </c>
      <c r="H1052" s="1">
        <f t="shared" si="193"/>
        <v>6601369.2000000002</v>
      </c>
      <c r="I1052" s="1">
        <v>0</v>
      </c>
      <c r="J1052" s="1">
        <v>0</v>
      </c>
      <c r="K1052" s="1">
        <v>0</v>
      </c>
      <c r="L1052" s="1">
        <v>0</v>
      </c>
      <c r="M1052" s="1">
        <v>6227706.79</v>
      </c>
      <c r="N1052" s="1">
        <v>0</v>
      </c>
      <c r="O1052" s="220">
        <v>373662.41</v>
      </c>
      <c r="P1052" s="1">
        <v>0</v>
      </c>
      <c r="Q1052" s="1">
        <f t="shared" si="195"/>
        <v>6601369.2000000002</v>
      </c>
      <c r="R1052" s="1">
        <v>0</v>
      </c>
      <c r="S1052" s="1">
        <v>0</v>
      </c>
      <c r="T1052" s="182">
        <v>2022</v>
      </c>
      <c r="U1052" s="182">
        <v>2023</v>
      </c>
    </row>
    <row r="1053" spans="1:21" ht="15.75">
      <c r="A1053" s="182">
        <f t="shared" si="194"/>
        <v>339</v>
      </c>
      <c r="B1053" s="228" t="s">
        <v>844</v>
      </c>
      <c r="C1053" s="190">
        <v>1965</v>
      </c>
      <c r="D1053" s="230"/>
      <c r="E1053" s="230"/>
      <c r="F1053" s="180">
        <v>2744.5</v>
      </c>
      <c r="G1053" s="180">
        <v>2211.1</v>
      </c>
      <c r="H1053" s="1">
        <f t="shared" si="193"/>
        <v>6601369.2000000002</v>
      </c>
      <c r="I1053" s="1">
        <v>0</v>
      </c>
      <c r="J1053" s="1">
        <v>0</v>
      </c>
      <c r="K1053" s="1">
        <v>0</v>
      </c>
      <c r="L1053" s="1">
        <v>0</v>
      </c>
      <c r="M1053" s="1">
        <v>6227706.79</v>
      </c>
      <c r="N1053" s="1">
        <v>0</v>
      </c>
      <c r="O1053" s="220">
        <v>373662.41</v>
      </c>
      <c r="P1053" s="1">
        <v>0</v>
      </c>
      <c r="Q1053" s="1">
        <f t="shared" si="195"/>
        <v>6601369.2000000002</v>
      </c>
      <c r="R1053" s="1">
        <v>0</v>
      </c>
      <c r="S1053" s="1">
        <v>0</v>
      </c>
      <c r="T1053" s="182">
        <v>2022</v>
      </c>
      <c r="U1053" s="182">
        <v>2023</v>
      </c>
    </row>
    <row r="1054" spans="1:21" ht="15.75">
      <c r="A1054" s="182">
        <f t="shared" si="194"/>
        <v>340</v>
      </c>
      <c r="B1054" s="228" t="s">
        <v>845</v>
      </c>
      <c r="C1054" s="190">
        <v>1984</v>
      </c>
      <c r="D1054" s="182"/>
      <c r="E1054" s="182"/>
      <c r="F1054" s="180">
        <v>3960.6</v>
      </c>
      <c r="G1054" s="180">
        <v>3447.2</v>
      </c>
      <c r="H1054" s="1">
        <f t="shared" si="193"/>
        <v>7037228.5</v>
      </c>
      <c r="I1054" s="49">
        <v>0</v>
      </c>
      <c r="J1054" s="1">
        <v>0</v>
      </c>
      <c r="K1054" s="1">
        <v>0</v>
      </c>
      <c r="L1054" s="1">
        <v>0</v>
      </c>
      <c r="M1054" s="1">
        <v>6638894.8099999996</v>
      </c>
      <c r="N1054" s="1">
        <v>0</v>
      </c>
      <c r="O1054" s="220">
        <v>398333.69</v>
      </c>
      <c r="P1054" s="1">
        <v>0</v>
      </c>
      <c r="Q1054" s="1">
        <f t="shared" si="195"/>
        <v>7037228.5</v>
      </c>
      <c r="R1054" s="1">
        <v>0</v>
      </c>
      <c r="S1054" s="1">
        <v>0</v>
      </c>
      <c r="T1054" s="182">
        <v>2022</v>
      </c>
      <c r="U1054" s="182">
        <v>2023</v>
      </c>
    </row>
    <row r="1055" spans="1:21" ht="15.75">
      <c r="A1055" s="182">
        <f t="shared" si="194"/>
        <v>341</v>
      </c>
      <c r="B1055" s="228" t="s">
        <v>846</v>
      </c>
      <c r="C1055" s="190">
        <v>1980</v>
      </c>
      <c r="D1055" s="182"/>
      <c r="E1055" s="182"/>
      <c r="F1055" s="180">
        <v>3983.9</v>
      </c>
      <c r="G1055" s="180">
        <v>3456.2</v>
      </c>
      <c r="H1055" s="1">
        <f t="shared" si="193"/>
        <v>8646525.0399999991</v>
      </c>
      <c r="I1055" s="49">
        <v>0</v>
      </c>
      <c r="J1055" s="1">
        <v>0</v>
      </c>
      <c r="K1055" s="1">
        <v>0</v>
      </c>
      <c r="L1055" s="1">
        <v>0</v>
      </c>
      <c r="M1055" s="1">
        <v>8157099.0899999999</v>
      </c>
      <c r="N1055" s="1">
        <v>0</v>
      </c>
      <c r="O1055" s="220">
        <v>489425.95</v>
      </c>
      <c r="P1055" s="1">
        <v>0</v>
      </c>
      <c r="Q1055" s="1">
        <f t="shared" si="195"/>
        <v>8646525.0399999991</v>
      </c>
      <c r="R1055" s="1">
        <v>0</v>
      </c>
      <c r="S1055" s="1">
        <v>0</v>
      </c>
      <c r="T1055" s="182">
        <v>2022</v>
      </c>
      <c r="U1055" s="182">
        <v>2023</v>
      </c>
    </row>
    <row r="1056" spans="1:21" ht="15.75">
      <c r="A1056" s="182">
        <f t="shared" si="194"/>
        <v>342</v>
      </c>
      <c r="B1056" s="228" t="s">
        <v>280</v>
      </c>
      <c r="C1056" s="190">
        <v>1990</v>
      </c>
      <c r="D1056" s="182"/>
      <c r="E1056" s="182"/>
      <c r="F1056" s="180">
        <v>6675.7</v>
      </c>
      <c r="G1056" s="180">
        <v>5761.9</v>
      </c>
      <c r="H1056" s="1">
        <f t="shared" si="193"/>
        <v>7853775.9199999999</v>
      </c>
      <c r="I1056" s="49">
        <f>ROUND((635.88+578.78)*G1056*1.015,2)</f>
        <v>7103730.7000000002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220">
        <v>750045.22</v>
      </c>
      <c r="P1056" s="1">
        <v>0</v>
      </c>
      <c r="Q1056" s="1">
        <v>0</v>
      </c>
      <c r="R1056" s="1">
        <v>0</v>
      </c>
      <c r="S1056" s="13">
        <f>H1056</f>
        <v>7853775.9199999999</v>
      </c>
      <c r="T1056" s="182">
        <v>2022</v>
      </c>
      <c r="U1056" s="182">
        <v>2022</v>
      </c>
    </row>
    <row r="1057" spans="1:22" ht="15.75">
      <c r="A1057" s="182">
        <f t="shared" si="194"/>
        <v>343</v>
      </c>
      <c r="B1057" s="228" t="s">
        <v>281</v>
      </c>
      <c r="C1057" s="190">
        <v>1992</v>
      </c>
      <c r="D1057" s="182"/>
      <c r="E1057" s="182"/>
      <c r="F1057" s="180">
        <v>2182.8000000000002</v>
      </c>
      <c r="G1057" s="180">
        <v>1836.6</v>
      </c>
      <c r="H1057" s="1">
        <f t="shared" si="193"/>
        <v>11386252.189999999</v>
      </c>
      <c r="I1057" s="49">
        <v>0</v>
      </c>
      <c r="J1057" s="1">
        <v>0</v>
      </c>
      <c r="K1057" s="1">
        <v>0</v>
      </c>
      <c r="L1057" s="1">
        <v>0</v>
      </c>
      <c r="M1057" s="1">
        <v>10741747.35</v>
      </c>
      <c r="N1057" s="1">
        <v>0</v>
      </c>
      <c r="O1057" s="220">
        <v>644504.84</v>
      </c>
      <c r="P1057" s="1">
        <v>0</v>
      </c>
      <c r="Q1057" s="1">
        <f>H1057</f>
        <v>11386252.189999999</v>
      </c>
      <c r="R1057" s="1">
        <v>0</v>
      </c>
      <c r="S1057" s="1">
        <v>0</v>
      </c>
      <c r="T1057" s="182">
        <v>2022</v>
      </c>
      <c r="U1057" s="182">
        <v>2023</v>
      </c>
    </row>
    <row r="1058" spans="1:22" ht="15.75">
      <c r="A1058" s="287" t="s">
        <v>606</v>
      </c>
      <c r="B1058" s="287"/>
      <c r="C1058" s="231"/>
      <c r="D1058" s="232"/>
      <c r="E1058" s="232"/>
      <c r="F1058" s="35">
        <f t="shared" ref="F1058:S1058" si="196">SUM(F1045:F1057)</f>
        <v>48346.8</v>
      </c>
      <c r="G1058" s="35">
        <f t="shared" si="196"/>
        <v>41082.5</v>
      </c>
      <c r="H1058" s="27">
        <f t="shared" si="196"/>
        <v>111088457</v>
      </c>
      <c r="I1058" s="27">
        <f t="shared" si="196"/>
        <v>7103730.7000000002</v>
      </c>
      <c r="J1058" s="15">
        <f t="shared" si="196"/>
        <v>0</v>
      </c>
      <c r="K1058" s="27">
        <f t="shared" si="196"/>
        <v>14148502.800000001</v>
      </c>
      <c r="L1058" s="15">
        <f t="shared" si="196"/>
        <v>0</v>
      </c>
      <c r="M1058" s="27">
        <f t="shared" si="196"/>
        <v>83706285.299999997</v>
      </c>
      <c r="N1058" s="15">
        <f t="shared" si="196"/>
        <v>0</v>
      </c>
      <c r="O1058" s="27">
        <f t="shared" si="196"/>
        <v>6129938.2000000002</v>
      </c>
      <c r="P1058" s="15">
        <f t="shared" si="196"/>
        <v>0</v>
      </c>
      <c r="Q1058" s="27">
        <f t="shared" si="196"/>
        <v>88728662.450000003</v>
      </c>
      <c r="R1058" s="15">
        <f t="shared" si="196"/>
        <v>0</v>
      </c>
      <c r="S1058" s="27">
        <f t="shared" si="196"/>
        <v>22359794.550000001</v>
      </c>
      <c r="T1058" s="16" t="s">
        <v>31</v>
      </c>
      <c r="U1058" s="16" t="s">
        <v>31</v>
      </c>
      <c r="V1058" s="155"/>
    </row>
    <row r="1059" spans="1:22" ht="15.75">
      <c r="A1059" s="291" t="s">
        <v>568</v>
      </c>
      <c r="B1059" s="291"/>
      <c r="C1059" s="291"/>
      <c r="D1059" s="291"/>
      <c r="E1059" s="291"/>
      <c r="F1059" s="291"/>
      <c r="G1059" s="291"/>
      <c r="H1059" s="291"/>
      <c r="I1059" s="291"/>
      <c r="J1059" s="291"/>
      <c r="K1059" s="291"/>
      <c r="L1059" s="291"/>
      <c r="M1059" s="291"/>
      <c r="N1059" s="291"/>
      <c r="O1059" s="291"/>
      <c r="P1059" s="291"/>
      <c r="Q1059" s="291"/>
      <c r="R1059" s="291"/>
      <c r="S1059" s="291"/>
      <c r="T1059" s="291"/>
      <c r="U1059" s="291"/>
    </row>
    <row r="1060" spans="1:22" ht="15.75">
      <c r="A1060" s="182">
        <f>A1057+1</f>
        <v>344</v>
      </c>
      <c r="B1060" s="186" t="s">
        <v>741</v>
      </c>
      <c r="C1060" s="190">
        <v>1988</v>
      </c>
      <c r="D1060" s="182"/>
      <c r="E1060" s="182"/>
      <c r="F1060" s="184">
        <v>3456.9</v>
      </c>
      <c r="G1060" s="184">
        <v>2938.3</v>
      </c>
      <c r="H1060" s="1">
        <f>I1060+J1060+K1060+L1060+M1060+N1060+O1060</f>
        <v>10417298.810000001</v>
      </c>
      <c r="I1060" s="1">
        <v>0</v>
      </c>
      <c r="J1060" s="1">
        <v>0</v>
      </c>
      <c r="K1060" s="1">
        <v>0</v>
      </c>
      <c r="L1060" s="1">
        <v>0</v>
      </c>
      <c r="M1060" s="1">
        <f>ROUND(3435.59*G1060*1.015,2)</f>
        <v>10246216.01</v>
      </c>
      <c r="N1060" s="1">
        <v>0</v>
      </c>
      <c r="O1060" s="1">
        <v>171082.8</v>
      </c>
      <c r="P1060" s="1">
        <v>0</v>
      </c>
      <c r="Q1060" s="1">
        <v>0</v>
      </c>
      <c r="R1060" s="1">
        <v>0</v>
      </c>
      <c r="S1060" s="233">
        <f>H1060-R1060</f>
        <v>10417298.810000001</v>
      </c>
      <c r="T1060" s="182">
        <v>2022</v>
      </c>
      <c r="U1060" s="182">
        <v>2022</v>
      </c>
    </row>
    <row r="1061" spans="1:22" ht="15.75">
      <c r="A1061" s="287" t="s">
        <v>606</v>
      </c>
      <c r="B1061" s="287"/>
      <c r="C1061" s="227"/>
      <c r="D1061" s="179"/>
      <c r="E1061" s="179"/>
      <c r="F1061" s="14">
        <f t="shared" ref="F1061:S1061" si="197">F1060</f>
        <v>3456.9</v>
      </c>
      <c r="G1061" s="14">
        <f t="shared" si="197"/>
        <v>2938.3</v>
      </c>
      <c r="H1061" s="15">
        <f t="shared" si="197"/>
        <v>10417298.810000001</v>
      </c>
      <c r="I1061" s="15">
        <f t="shared" si="197"/>
        <v>0</v>
      </c>
      <c r="J1061" s="15">
        <f t="shared" si="197"/>
        <v>0</v>
      </c>
      <c r="K1061" s="15">
        <f t="shared" si="197"/>
        <v>0</v>
      </c>
      <c r="L1061" s="15">
        <f t="shared" si="197"/>
        <v>0</v>
      </c>
      <c r="M1061" s="15">
        <f t="shared" si="197"/>
        <v>10246216.01</v>
      </c>
      <c r="N1061" s="15">
        <f t="shared" si="197"/>
        <v>0</v>
      </c>
      <c r="O1061" s="15">
        <f t="shared" si="197"/>
        <v>171082.8</v>
      </c>
      <c r="P1061" s="15">
        <f t="shared" si="197"/>
        <v>0</v>
      </c>
      <c r="Q1061" s="15">
        <f t="shared" si="197"/>
        <v>0</v>
      </c>
      <c r="R1061" s="15">
        <f t="shared" si="197"/>
        <v>0</v>
      </c>
      <c r="S1061" s="27">
        <f t="shared" si="197"/>
        <v>10417298.810000001</v>
      </c>
      <c r="T1061" s="16" t="s">
        <v>31</v>
      </c>
      <c r="U1061" s="16" t="s">
        <v>31</v>
      </c>
    </row>
    <row r="1062" spans="1:22" ht="15.75">
      <c r="A1062" s="291" t="s">
        <v>570</v>
      </c>
      <c r="B1062" s="291"/>
      <c r="C1062" s="291"/>
      <c r="D1062" s="291"/>
      <c r="E1062" s="291"/>
      <c r="F1062" s="291"/>
      <c r="G1062" s="291"/>
      <c r="H1062" s="291"/>
      <c r="I1062" s="291"/>
      <c r="J1062" s="291"/>
      <c r="K1062" s="291"/>
      <c r="L1062" s="291"/>
      <c r="M1062" s="291"/>
      <c r="N1062" s="291"/>
      <c r="O1062" s="291"/>
      <c r="P1062" s="291"/>
      <c r="Q1062" s="291"/>
      <c r="R1062" s="291"/>
      <c r="S1062" s="291"/>
      <c r="T1062" s="291"/>
      <c r="U1062" s="291"/>
    </row>
    <row r="1063" spans="1:22" ht="15.75">
      <c r="A1063" s="182">
        <f>A1060+1</f>
        <v>345</v>
      </c>
      <c r="B1063" s="186" t="s">
        <v>1053</v>
      </c>
      <c r="C1063" s="182">
        <v>1950</v>
      </c>
      <c r="D1063" s="182"/>
      <c r="E1063" s="182"/>
      <c r="F1063" s="234">
        <v>4577</v>
      </c>
      <c r="G1063" s="182"/>
      <c r="H1063" s="162">
        <f t="shared" ref="H1063:H1077" si="198">I1063+J1063+K1063+L1063+M1063+N1063+O1063</f>
        <v>16116129.460000001</v>
      </c>
      <c r="I1063" s="182"/>
      <c r="J1063" s="182"/>
      <c r="K1063" s="162">
        <v>14905495.710000001</v>
      </c>
      <c r="L1063" s="182"/>
      <c r="M1063" s="182"/>
      <c r="N1063" s="182"/>
      <c r="O1063" s="162">
        <v>1210633.75</v>
      </c>
      <c r="P1063" s="182"/>
      <c r="Q1063" s="235">
        <f>H1063</f>
        <v>16116129.460000001</v>
      </c>
      <c r="R1063" s="182"/>
      <c r="S1063" s="182"/>
      <c r="T1063" s="182">
        <v>2022</v>
      </c>
      <c r="U1063" s="182">
        <v>2023</v>
      </c>
    </row>
    <row r="1064" spans="1:22" ht="15.75">
      <c r="A1064" s="182">
        <f t="shared" ref="A1064:A1083" si="199">A1063+1</f>
        <v>346</v>
      </c>
      <c r="B1064" s="186" t="s">
        <v>294</v>
      </c>
      <c r="C1064" s="196">
        <v>1939</v>
      </c>
      <c r="D1064" s="182"/>
      <c r="E1064" s="182"/>
      <c r="F1064" s="12">
        <v>1868.6</v>
      </c>
      <c r="G1064" s="12">
        <v>1679.4</v>
      </c>
      <c r="H1064" s="1">
        <f t="shared" si="198"/>
        <v>12134829.92</v>
      </c>
      <c r="I1064" s="236">
        <v>12134829.92</v>
      </c>
      <c r="J1064" s="1">
        <v>0</v>
      </c>
      <c r="K1064" s="1">
        <v>0</v>
      </c>
      <c r="L1064" s="1">
        <v>0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0</v>
      </c>
      <c r="S1064" s="1">
        <f t="shared" ref="S1064:S1077" si="200">H1064</f>
        <v>12134829.92</v>
      </c>
      <c r="T1064" s="182">
        <v>2020</v>
      </c>
      <c r="U1064" s="182">
        <v>2022</v>
      </c>
    </row>
    <row r="1065" spans="1:22" ht="15.75">
      <c r="A1065" s="182">
        <f t="shared" si="199"/>
        <v>347</v>
      </c>
      <c r="B1065" s="186" t="s">
        <v>295</v>
      </c>
      <c r="C1065" s="196">
        <v>1940</v>
      </c>
      <c r="D1065" s="182"/>
      <c r="E1065" s="182"/>
      <c r="F1065" s="12">
        <v>1763.3</v>
      </c>
      <c r="G1065" s="12">
        <v>1579.6</v>
      </c>
      <c r="H1065" s="1">
        <f t="shared" si="198"/>
        <v>11413705.689999999</v>
      </c>
      <c r="I1065" s="236">
        <v>11413705.689999999</v>
      </c>
      <c r="J1065" s="1">
        <v>0</v>
      </c>
      <c r="K1065" s="1">
        <v>0</v>
      </c>
      <c r="L1065" s="1">
        <v>0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0</v>
      </c>
      <c r="S1065" s="1">
        <f t="shared" si="200"/>
        <v>11413705.689999999</v>
      </c>
      <c r="T1065" s="182">
        <v>2020</v>
      </c>
      <c r="U1065" s="182">
        <v>2022</v>
      </c>
    </row>
    <row r="1066" spans="1:22" ht="15.75">
      <c r="A1066" s="182">
        <f t="shared" si="199"/>
        <v>348</v>
      </c>
      <c r="B1066" s="186" t="s">
        <v>296</v>
      </c>
      <c r="C1066" s="196">
        <v>1939</v>
      </c>
      <c r="D1066" s="182"/>
      <c r="E1066" s="182"/>
      <c r="F1066" s="12">
        <v>2421</v>
      </c>
      <c r="G1066" s="12">
        <v>2203.3000000000002</v>
      </c>
      <c r="H1066" s="1">
        <f t="shared" si="198"/>
        <v>9544055.6799999997</v>
      </c>
      <c r="I1066" s="236">
        <v>9544055.6799999997</v>
      </c>
      <c r="J1066" s="1">
        <v>0</v>
      </c>
      <c r="K1066" s="1">
        <v>0</v>
      </c>
      <c r="L1066" s="1">
        <v>0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0</v>
      </c>
      <c r="S1066" s="1">
        <f t="shared" si="200"/>
        <v>9544055.6799999997</v>
      </c>
      <c r="T1066" s="182">
        <v>2020</v>
      </c>
      <c r="U1066" s="182">
        <v>2022</v>
      </c>
    </row>
    <row r="1067" spans="1:22" ht="15.75">
      <c r="A1067" s="182">
        <f t="shared" si="199"/>
        <v>349</v>
      </c>
      <c r="B1067" s="186" t="s">
        <v>747</v>
      </c>
      <c r="C1067" s="190">
        <v>1939</v>
      </c>
      <c r="D1067" s="182"/>
      <c r="E1067" s="182"/>
      <c r="F1067" s="33">
        <v>1758.2</v>
      </c>
      <c r="G1067" s="33">
        <v>1581.5</v>
      </c>
      <c r="H1067" s="1">
        <f t="shared" si="198"/>
        <v>10045447.439999999</v>
      </c>
      <c r="I1067" s="1">
        <v>0</v>
      </c>
      <c r="J1067" s="1">
        <v>0</v>
      </c>
      <c r="K1067" s="1">
        <f>ROUND(5975.33*G1067*1.015,2)</f>
        <v>9591734.1600000001</v>
      </c>
      <c r="L1067" s="1">
        <v>0</v>
      </c>
      <c r="M1067" s="1"/>
      <c r="N1067" s="1">
        <v>0</v>
      </c>
      <c r="O1067" s="1">
        <f>276145.55+177567.73</f>
        <v>453713.28</v>
      </c>
      <c r="P1067" s="1">
        <v>0</v>
      </c>
      <c r="Q1067" s="1">
        <v>0</v>
      </c>
      <c r="R1067" s="1">
        <v>0</v>
      </c>
      <c r="S1067" s="13">
        <f t="shared" si="200"/>
        <v>10045447.439999999</v>
      </c>
      <c r="T1067" s="182">
        <v>2022</v>
      </c>
      <c r="U1067" s="182">
        <v>2022</v>
      </c>
    </row>
    <row r="1068" spans="1:22" ht="15.75">
      <c r="A1068" s="182">
        <f t="shared" si="199"/>
        <v>350</v>
      </c>
      <c r="B1068" s="186" t="s">
        <v>753</v>
      </c>
      <c r="C1068" s="190">
        <v>1955</v>
      </c>
      <c r="D1068" s="182"/>
      <c r="E1068" s="182"/>
      <c r="F1068" s="33">
        <v>4644.3</v>
      </c>
      <c r="G1068" s="33">
        <v>4254.2</v>
      </c>
      <c r="H1068" s="1">
        <f t="shared" si="198"/>
        <v>18623707.239999998</v>
      </c>
      <c r="I1068" s="1">
        <v>0</v>
      </c>
      <c r="J1068" s="1">
        <v>0</v>
      </c>
      <c r="K1068" s="1">
        <f>ROUND(G1068*3855.19*1.015,2)</f>
        <v>16646760.539999999</v>
      </c>
      <c r="L1068" s="1">
        <v>0</v>
      </c>
      <c r="M1068" s="1"/>
      <c r="N1068" s="1">
        <v>0</v>
      </c>
      <c r="O1068" s="1">
        <f>1045362.11+931584.59</f>
        <v>1976946.7</v>
      </c>
      <c r="P1068" s="1">
        <v>0</v>
      </c>
      <c r="Q1068" s="1">
        <v>0</v>
      </c>
      <c r="R1068" s="1">
        <v>0</v>
      </c>
      <c r="S1068" s="13">
        <f t="shared" si="200"/>
        <v>18623707.239999998</v>
      </c>
      <c r="T1068" s="182">
        <v>2022</v>
      </c>
      <c r="U1068" s="182">
        <v>2023</v>
      </c>
    </row>
    <row r="1069" spans="1:22" ht="15.75">
      <c r="A1069" s="182">
        <f t="shared" si="199"/>
        <v>351</v>
      </c>
      <c r="B1069" s="186" t="s">
        <v>579</v>
      </c>
      <c r="C1069" s="183">
        <v>1984</v>
      </c>
      <c r="D1069" s="182"/>
      <c r="E1069" s="182"/>
      <c r="F1069" s="237">
        <v>3876.7</v>
      </c>
      <c r="G1069" s="237">
        <v>3322.1</v>
      </c>
      <c r="H1069" s="1">
        <f t="shared" si="198"/>
        <v>6075603.3200000003</v>
      </c>
      <c r="I1069" s="1">
        <v>0</v>
      </c>
      <c r="J1069" s="1">
        <f>ROUND(2*2918085.34*1.015,2)</f>
        <v>5923713.2400000002</v>
      </c>
      <c r="K1069" s="1">
        <v>0</v>
      </c>
      <c r="L1069" s="1">
        <v>0</v>
      </c>
      <c r="M1069" s="1">
        <v>0</v>
      </c>
      <c r="N1069" s="1">
        <v>0</v>
      </c>
      <c r="O1069" s="1">
        <v>151890.07999999999</v>
      </c>
      <c r="P1069" s="1">
        <v>0</v>
      </c>
      <c r="Q1069" s="1">
        <v>0</v>
      </c>
      <c r="R1069" s="1">
        <v>0</v>
      </c>
      <c r="S1069" s="13">
        <f t="shared" si="200"/>
        <v>6075603.3200000003</v>
      </c>
      <c r="T1069" s="182">
        <v>2022</v>
      </c>
      <c r="U1069" s="182">
        <v>2022</v>
      </c>
    </row>
    <row r="1070" spans="1:22" ht="15.75">
      <c r="A1070" s="182">
        <f t="shared" si="199"/>
        <v>352</v>
      </c>
      <c r="B1070" s="186" t="s">
        <v>742</v>
      </c>
      <c r="C1070" s="190">
        <v>1984</v>
      </c>
      <c r="D1070" s="182"/>
      <c r="E1070" s="182"/>
      <c r="F1070" s="180">
        <v>3923.9</v>
      </c>
      <c r="G1070" s="33">
        <v>3378.3</v>
      </c>
      <c r="H1070" s="1">
        <f t="shared" si="198"/>
        <v>6075603.3200000003</v>
      </c>
      <c r="I1070" s="1">
        <v>0</v>
      </c>
      <c r="J1070" s="1">
        <f>ROUND(2*2918085.34*1.015,2)</f>
        <v>5923713.2400000002</v>
      </c>
      <c r="K1070" s="1">
        <v>0</v>
      </c>
      <c r="L1070" s="1">
        <v>0</v>
      </c>
      <c r="M1070" s="1">
        <v>0</v>
      </c>
      <c r="N1070" s="1">
        <v>0</v>
      </c>
      <c r="O1070" s="1">
        <v>151890.07999999999</v>
      </c>
      <c r="P1070" s="1">
        <v>0</v>
      </c>
      <c r="Q1070" s="1">
        <v>0</v>
      </c>
      <c r="R1070" s="1">
        <v>0</v>
      </c>
      <c r="S1070" s="13">
        <f t="shared" si="200"/>
        <v>6075603.3200000003</v>
      </c>
      <c r="T1070" s="182">
        <v>2022</v>
      </c>
      <c r="U1070" s="182">
        <v>2022</v>
      </c>
    </row>
    <row r="1071" spans="1:22" ht="15.75">
      <c r="A1071" s="182">
        <f t="shared" si="199"/>
        <v>353</v>
      </c>
      <c r="B1071" s="186" t="s">
        <v>743</v>
      </c>
      <c r="C1071" s="190">
        <v>1982</v>
      </c>
      <c r="D1071" s="182"/>
      <c r="E1071" s="182"/>
      <c r="F1071" s="180">
        <v>2657.6</v>
      </c>
      <c r="G1071" s="33">
        <v>2272.4</v>
      </c>
      <c r="H1071" s="1">
        <f t="shared" si="198"/>
        <v>3037801.66</v>
      </c>
      <c r="I1071" s="1">
        <v>0</v>
      </c>
      <c r="J1071" s="1">
        <f>ROUND(1*2918085.34*1.015,2)</f>
        <v>2961856.62</v>
      </c>
      <c r="K1071" s="1">
        <v>0</v>
      </c>
      <c r="L1071" s="1">
        <v>0</v>
      </c>
      <c r="M1071" s="1">
        <v>0</v>
      </c>
      <c r="N1071" s="1">
        <v>0</v>
      </c>
      <c r="O1071" s="1">
        <v>75945.039999999994</v>
      </c>
      <c r="P1071" s="1">
        <v>0</v>
      </c>
      <c r="Q1071" s="1">
        <v>0</v>
      </c>
      <c r="R1071" s="1">
        <v>0</v>
      </c>
      <c r="S1071" s="13">
        <f t="shared" si="200"/>
        <v>3037801.66</v>
      </c>
      <c r="T1071" s="182">
        <v>2022</v>
      </c>
      <c r="U1071" s="182">
        <v>2022</v>
      </c>
    </row>
    <row r="1072" spans="1:22" ht="15.75">
      <c r="A1072" s="182">
        <f t="shared" si="199"/>
        <v>354</v>
      </c>
      <c r="B1072" s="186" t="s">
        <v>744</v>
      </c>
      <c r="C1072" s="190">
        <v>1983</v>
      </c>
      <c r="D1072" s="182"/>
      <c r="E1072" s="182"/>
      <c r="F1072" s="180">
        <v>3873.6</v>
      </c>
      <c r="G1072" s="33">
        <v>3321</v>
      </c>
      <c r="H1072" s="1">
        <f t="shared" si="198"/>
        <v>6075603.3200000003</v>
      </c>
      <c r="I1072" s="1">
        <v>0</v>
      </c>
      <c r="J1072" s="1">
        <f>ROUND(2*2918085.34*1.015,2)</f>
        <v>5923713.2400000002</v>
      </c>
      <c r="K1072" s="1">
        <v>0</v>
      </c>
      <c r="L1072" s="1">
        <v>0</v>
      </c>
      <c r="M1072" s="1">
        <v>0</v>
      </c>
      <c r="N1072" s="1">
        <v>0</v>
      </c>
      <c r="O1072" s="1">
        <v>151890.07999999999</v>
      </c>
      <c r="P1072" s="1">
        <v>0</v>
      </c>
      <c r="Q1072" s="1">
        <v>0</v>
      </c>
      <c r="R1072" s="1">
        <v>0</v>
      </c>
      <c r="S1072" s="13">
        <f t="shared" si="200"/>
        <v>6075603.3200000003</v>
      </c>
      <c r="T1072" s="182">
        <v>2022</v>
      </c>
      <c r="U1072" s="182">
        <v>2022</v>
      </c>
    </row>
    <row r="1073" spans="1:21" ht="15.75">
      <c r="A1073" s="182">
        <f t="shared" si="199"/>
        <v>355</v>
      </c>
      <c r="B1073" s="186" t="s">
        <v>745</v>
      </c>
      <c r="C1073" s="190">
        <v>1984</v>
      </c>
      <c r="D1073" s="182"/>
      <c r="E1073" s="182"/>
      <c r="F1073" s="180">
        <v>4398</v>
      </c>
      <c r="G1073" s="33">
        <v>3758.9</v>
      </c>
      <c r="H1073" s="1">
        <f t="shared" si="198"/>
        <v>3037801.66</v>
      </c>
      <c r="I1073" s="1">
        <v>0</v>
      </c>
      <c r="J1073" s="1">
        <f>ROUND(1*2918085.34*1.015,2)</f>
        <v>2961856.62</v>
      </c>
      <c r="K1073" s="1">
        <v>0</v>
      </c>
      <c r="L1073" s="1">
        <v>0</v>
      </c>
      <c r="M1073" s="1">
        <v>0</v>
      </c>
      <c r="N1073" s="1">
        <v>0</v>
      </c>
      <c r="O1073" s="1">
        <v>75945.039999999994</v>
      </c>
      <c r="P1073" s="1">
        <v>0</v>
      </c>
      <c r="Q1073" s="1">
        <v>0</v>
      </c>
      <c r="R1073" s="1">
        <v>0</v>
      </c>
      <c r="S1073" s="13">
        <f t="shared" si="200"/>
        <v>3037801.66</v>
      </c>
      <c r="T1073" s="182">
        <v>2022</v>
      </c>
      <c r="U1073" s="182">
        <v>2022</v>
      </c>
    </row>
    <row r="1074" spans="1:21" ht="15.75">
      <c r="A1074" s="182">
        <f t="shared" si="199"/>
        <v>356</v>
      </c>
      <c r="B1074" s="186" t="s">
        <v>746</v>
      </c>
      <c r="C1074" s="190">
        <v>1988</v>
      </c>
      <c r="D1074" s="182"/>
      <c r="E1074" s="182"/>
      <c r="F1074" s="33">
        <v>9091.4</v>
      </c>
      <c r="G1074" s="33">
        <v>7838.2</v>
      </c>
      <c r="H1074" s="1">
        <f t="shared" si="198"/>
        <v>7820752.8700000001</v>
      </c>
      <c r="I1074" s="1">
        <f>ROUND((4536593.4+2394897.56)*1.015,2)</f>
        <v>7035463.3200000003</v>
      </c>
      <c r="J1074" s="1">
        <v>0</v>
      </c>
      <c r="K1074" s="1">
        <v>0</v>
      </c>
      <c r="L1074" s="1">
        <v>0</v>
      </c>
      <c r="M1074" s="1">
        <v>0</v>
      </c>
      <c r="N1074" s="1">
        <v>0</v>
      </c>
      <c r="O1074" s="1">
        <v>785289.55</v>
      </c>
      <c r="P1074" s="1">
        <v>0</v>
      </c>
      <c r="Q1074" s="1">
        <v>0</v>
      </c>
      <c r="R1074" s="1">
        <v>0</v>
      </c>
      <c r="S1074" s="13">
        <f t="shared" si="200"/>
        <v>7820752.8700000001</v>
      </c>
      <c r="T1074" s="182">
        <v>2022</v>
      </c>
      <c r="U1074" s="182">
        <v>2022</v>
      </c>
    </row>
    <row r="1075" spans="1:21" ht="15.75">
      <c r="A1075" s="182">
        <f t="shared" si="199"/>
        <v>357</v>
      </c>
      <c r="B1075" s="186" t="s">
        <v>583</v>
      </c>
      <c r="C1075" s="190">
        <v>1980</v>
      </c>
      <c r="D1075" s="182"/>
      <c r="E1075" s="182"/>
      <c r="F1075" s="33">
        <v>4035.4</v>
      </c>
      <c r="G1075" s="33">
        <v>3652.8</v>
      </c>
      <c r="H1075" s="1">
        <f t="shared" si="198"/>
        <v>12696535.91</v>
      </c>
      <c r="I1075" s="1">
        <v>0</v>
      </c>
      <c r="J1075" s="1">
        <v>0</v>
      </c>
      <c r="K1075" s="1">
        <v>0</v>
      </c>
      <c r="L1075" s="1">
        <v>0</v>
      </c>
      <c r="M1075" s="1">
        <f>12156591.46*1.015</f>
        <v>12338940.33</v>
      </c>
      <c r="N1075" s="1">
        <v>0</v>
      </c>
      <c r="O1075" s="1">
        <v>357595.58</v>
      </c>
      <c r="P1075" s="1">
        <v>0</v>
      </c>
      <c r="Q1075" s="1">
        <v>0</v>
      </c>
      <c r="R1075" s="1">
        <v>0</v>
      </c>
      <c r="S1075" s="13">
        <f t="shared" si="200"/>
        <v>12696535.91</v>
      </c>
      <c r="T1075" s="182">
        <v>2022</v>
      </c>
      <c r="U1075" s="182">
        <v>2022</v>
      </c>
    </row>
    <row r="1076" spans="1:21" ht="15.75">
      <c r="A1076" s="182">
        <f t="shared" si="199"/>
        <v>358</v>
      </c>
      <c r="B1076" s="186" t="s">
        <v>571</v>
      </c>
      <c r="C1076" s="190">
        <v>1987</v>
      </c>
      <c r="D1076" s="182"/>
      <c r="E1076" s="182"/>
      <c r="F1076" s="33">
        <v>4516.3</v>
      </c>
      <c r="G1076" s="33">
        <v>3855</v>
      </c>
      <c r="H1076" s="1">
        <f t="shared" si="198"/>
        <v>4162310.09</v>
      </c>
      <c r="I1076" s="1">
        <f>ROUND((578.78*G1076+1197448.78)*1.015,2)</f>
        <v>3480075.37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682234.72</v>
      </c>
      <c r="P1076" s="1">
        <v>0</v>
      </c>
      <c r="Q1076" s="1">
        <v>0</v>
      </c>
      <c r="R1076" s="1">
        <v>0</v>
      </c>
      <c r="S1076" s="13">
        <f t="shared" si="200"/>
        <v>4162310.09</v>
      </c>
      <c r="T1076" s="182">
        <v>2022</v>
      </c>
      <c r="U1076" s="182">
        <v>2022</v>
      </c>
    </row>
    <row r="1077" spans="1:21" ht="15.75">
      <c r="A1077" s="182">
        <f t="shared" si="199"/>
        <v>359</v>
      </c>
      <c r="B1077" s="186" t="s">
        <v>748</v>
      </c>
      <c r="C1077" s="190">
        <v>1975</v>
      </c>
      <c r="D1077" s="182"/>
      <c r="E1077" s="182"/>
      <c r="F1077" s="33">
        <v>2947.6</v>
      </c>
      <c r="G1077" s="33">
        <v>2735.8</v>
      </c>
      <c r="H1077" s="1">
        <f t="shared" si="198"/>
        <v>3723612.1600000001</v>
      </c>
      <c r="I1077" s="1">
        <f>ROUND((666.24*G1077+1197448.78)*1.015,2)</f>
        <v>3065450.39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658161.77</v>
      </c>
      <c r="P1077" s="1">
        <v>0</v>
      </c>
      <c r="Q1077" s="1">
        <v>0</v>
      </c>
      <c r="R1077" s="1">
        <v>0</v>
      </c>
      <c r="S1077" s="13">
        <f t="shared" si="200"/>
        <v>3723612.1600000001</v>
      </c>
      <c r="T1077" s="182">
        <v>2022</v>
      </c>
      <c r="U1077" s="182">
        <v>2022</v>
      </c>
    </row>
    <row r="1078" spans="1:21" ht="15.75">
      <c r="A1078" s="182">
        <f t="shared" si="199"/>
        <v>360</v>
      </c>
      <c r="B1078" s="186" t="s">
        <v>588</v>
      </c>
      <c r="C1078" s="190">
        <v>1971</v>
      </c>
      <c r="D1078" s="182"/>
      <c r="E1078" s="182"/>
      <c r="F1078" s="33">
        <v>1727.4</v>
      </c>
      <c r="G1078" s="33">
        <v>1571.8</v>
      </c>
      <c r="H1078" s="1">
        <f t="shared" ref="H1078:H1083" si="201">I1078+J1078+K1078+L1078+M1078+N1078+O1078</f>
        <v>6403297.3600000003</v>
      </c>
      <c r="I1078" s="1">
        <v>0</v>
      </c>
      <c r="J1078" s="1">
        <v>0</v>
      </c>
      <c r="K1078" s="1">
        <f>ROUND(G1078*3617.12*1.015,2)+0.01</f>
        <v>5770670.0599999996</v>
      </c>
      <c r="L1078" s="1">
        <v>0</v>
      </c>
      <c r="M1078" s="1">
        <v>0</v>
      </c>
      <c r="N1078" s="1">
        <v>0</v>
      </c>
      <c r="O1078" s="1">
        <v>632627.30000000005</v>
      </c>
      <c r="P1078" s="1">
        <v>0</v>
      </c>
      <c r="Q1078" s="1">
        <v>0</v>
      </c>
      <c r="R1078" s="1">
        <v>0</v>
      </c>
      <c r="S1078" s="13">
        <f t="shared" ref="S1078:S1083" si="202">H1078</f>
        <v>6403297.3600000003</v>
      </c>
      <c r="T1078" s="182">
        <v>2021</v>
      </c>
      <c r="U1078" s="182">
        <v>2022</v>
      </c>
    </row>
    <row r="1079" spans="1:21" ht="15.75">
      <c r="A1079" s="182">
        <f t="shared" si="199"/>
        <v>361</v>
      </c>
      <c r="B1079" s="186" t="s">
        <v>752</v>
      </c>
      <c r="C1079" s="190">
        <v>1973</v>
      </c>
      <c r="D1079" s="182"/>
      <c r="E1079" s="182"/>
      <c r="F1079" s="33">
        <v>3605.9</v>
      </c>
      <c r="G1079" s="33">
        <v>3253.7</v>
      </c>
      <c r="H1079" s="1">
        <f t="shared" si="201"/>
        <v>29103416.629999999</v>
      </c>
      <c r="I1079" s="1">
        <f>ROUND(16791206.91*1.015,2)-0.01</f>
        <v>17043075</v>
      </c>
      <c r="J1079" s="1">
        <v>0</v>
      </c>
      <c r="K1079" s="1">
        <f>ROUND(11444239.01*1.015,2)</f>
        <v>11615902.6</v>
      </c>
      <c r="L1079" s="1">
        <v>0</v>
      </c>
      <c r="M1079" s="1">
        <v>0</v>
      </c>
      <c r="N1079" s="1">
        <v>0</v>
      </c>
      <c r="O1079" s="1">
        <f>264301.4+180137.63</f>
        <v>444439.03</v>
      </c>
      <c r="P1079" s="1">
        <v>0</v>
      </c>
      <c r="Q1079" s="1">
        <v>0</v>
      </c>
      <c r="R1079" s="1">
        <v>0</v>
      </c>
      <c r="S1079" s="13">
        <f t="shared" si="202"/>
        <v>29103416.629999999</v>
      </c>
      <c r="T1079" s="182">
        <v>2022</v>
      </c>
      <c r="U1079" s="182">
        <v>2023</v>
      </c>
    </row>
    <row r="1080" spans="1:21" ht="15.75">
      <c r="A1080" s="182">
        <f t="shared" si="199"/>
        <v>362</v>
      </c>
      <c r="B1080" s="186" t="s">
        <v>751</v>
      </c>
      <c r="C1080" s="190">
        <v>1986</v>
      </c>
      <c r="D1080" s="182"/>
      <c r="E1080" s="182"/>
      <c r="F1080" s="33">
        <v>3910.5</v>
      </c>
      <c r="G1080" s="33">
        <v>3407.3</v>
      </c>
      <c r="H1080" s="1">
        <f t="shared" si="201"/>
        <v>12498387.880000001</v>
      </c>
      <c r="I1080" s="1">
        <v>0</v>
      </c>
      <c r="J1080" s="1">
        <v>0</v>
      </c>
      <c r="K1080" s="1">
        <f>ROUND(3517.3*G1080*1.015,2)</f>
        <v>12164263.73</v>
      </c>
      <c r="L1080" s="1">
        <v>0</v>
      </c>
      <c r="M1080" s="1">
        <v>0</v>
      </c>
      <c r="N1080" s="1">
        <v>0</v>
      </c>
      <c r="O1080" s="1">
        <v>334124.15000000002</v>
      </c>
      <c r="P1080" s="1">
        <v>0</v>
      </c>
      <c r="Q1080" s="1">
        <v>0</v>
      </c>
      <c r="R1080" s="1">
        <v>0</v>
      </c>
      <c r="S1080" s="13">
        <f t="shared" si="202"/>
        <v>12498387.880000001</v>
      </c>
      <c r="T1080" s="182">
        <v>2022</v>
      </c>
      <c r="U1080" s="182">
        <v>2022</v>
      </c>
    </row>
    <row r="1081" spans="1:21" ht="15.75">
      <c r="A1081" s="182">
        <f t="shared" si="199"/>
        <v>363</v>
      </c>
      <c r="B1081" s="186" t="s">
        <v>749</v>
      </c>
      <c r="C1081" s="190">
        <v>1989</v>
      </c>
      <c r="D1081" s="182"/>
      <c r="E1081" s="182"/>
      <c r="F1081" s="33">
        <v>3926.6</v>
      </c>
      <c r="G1081" s="33">
        <v>3420</v>
      </c>
      <c r="H1081" s="1">
        <f t="shared" si="201"/>
        <v>12543739.699999999</v>
      </c>
      <c r="I1081" s="1">
        <v>0</v>
      </c>
      <c r="J1081" s="1">
        <v>0</v>
      </c>
      <c r="K1081" s="1">
        <f>ROUND(3517.3*G1081*1.015,2)</f>
        <v>12209603.49</v>
      </c>
      <c r="L1081" s="1">
        <v>0</v>
      </c>
      <c r="M1081" s="1">
        <v>0</v>
      </c>
      <c r="N1081" s="1">
        <v>0</v>
      </c>
      <c r="O1081" s="1">
        <v>334136.21000000002</v>
      </c>
      <c r="P1081" s="1">
        <v>0</v>
      </c>
      <c r="Q1081" s="1">
        <v>0</v>
      </c>
      <c r="R1081" s="1">
        <v>0</v>
      </c>
      <c r="S1081" s="13">
        <f t="shared" si="202"/>
        <v>12543739.699999999</v>
      </c>
      <c r="T1081" s="182">
        <v>2022</v>
      </c>
      <c r="U1081" s="182">
        <v>2022</v>
      </c>
    </row>
    <row r="1082" spans="1:21" ht="15.75">
      <c r="A1082" s="182">
        <f t="shared" si="199"/>
        <v>364</v>
      </c>
      <c r="B1082" s="186" t="s">
        <v>750</v>
      </c>
      <c r="C1082" s="190">
        <v>1976</v>
      </c>
      <c r="D1082" s="182"/>
      <c r="E1082" s="182"/>
      <c r="F1082" s="33">
        <v>3114.8</v>
      </c>
      <c r="G1082" s="33">
        <v>2719.8</v>
      </c>
      <c r="H1082" s="1">
        <f t="shared" si="201"/>
        <v>22132699.649999999</v>
      </c>
      <c r="I1082" s="1">
        <f>ROUND((643.1*G1082+1197448.78)*1.015,2)+0.01</f>
        <v>2990750.45</v>
      </c>
      <c r="J1082" s="1">
        <v>0</v>
      </c>
      <c r="K1082" s="1">
        <f>ROUND(3517.3*G1082*1.015,2)</f>
        <v>9709847.8300000001</v>
      </c>
      <c r="L1082" s="1">
        <v>0</v>
      </c>
      <c r="M1082" s="1">
        <f>ROUND(3170.13*G1082*1.015,2)</f>
        <v>8751451.3699999992</v>
      </c>
      <c r="N1082" s="1">
        <v>0</v>
      </c>
      <c r="O1082" s="1">
        <f>94893.23+308082.82+277673.95</f>
        <v>680650</v>
      </c>
      <c r="P1082" s="1">
        <v>0</v>
      </c>
      <c r="Q1082" s="1">
        <v>0</v>
      </c>
      <c r="R1082" s="1">
        <v>0</v>
      </c>
      <c r="S1082" s="13">
        <f t="shared" si="202"/>
        <v>22132699.649999999</v>
      </c>
      <c r="T1082" s="182">
        <v>2022</v>
      </c>
      <c r="U1082" s="182">
        <v>2022</v>
      </c>
    </row>
    <row r="1083" spans="1:21" ht="15.75">
      <c r="A1083" s="182">
        <f t="shared" si="199"/>
        <v>365</v>
      </c>
      <c r="B1083" s="186" t="s">
        <v>754</v>
      </c>
      <c r="C1083" s="190">
        <v>1991</v>
      </c>
      <c r="D1083" s="182"/>
      <c r="E1083" s="182"/>
      <c r="F1083" s="33">
        <v>2674.6</v>
      </c>
      <c r="G1083" s="33">
        <v>2412.3000000000002</v>
      </c>
      <c r="H1083" s="1">
        <f t="shared" si="201"/>
        <v>9121141.5</v>
      </c>
      <c r="I1083" s="1">
        <v>0</v>
      </c>
      <c r="J1083" s="1">
        <v>0</v>
      </c>
      <c r="K1083" s="1">
        <f>ROUND(G1083*3517.3*1.015,2)</f>
        <v>8612054.5299999993</v>
      </c>
      <c r="L1083" s="1">
        <v>0</v>
      </c>
      <c r="M1083" s="1">
        <v>0</v>
      </c>
      <c r="N1083" s="1">
        <v>0</v>
      </c>
      <c r="O1083" s="1">
        <v>509086.97</v>
      </c>
      <c r="P1083" s="1">
        <v>0</v>
      </c>
      <c r="Q1083" s="1">
        <v>0</v>
      </c>
      <c r="R1083" s="1">
        <v>0</v>
      </c>
      <c r="S1083" s="13">
        <f t="shared" si="202"/>
        <v>9121141.5</v>
      </c>
      <c r="T1083" s="182">
        <v>2022</v>
      </c>
      <c r="U1083" s="182">
        <v>2022</v>
      </c>
    </row>
    <row r="1084" spans="1:21" ht="15.75">
      <c r="A1084" s="287" t="s">
        <v>606</v>
      </c>
      <c r="B1084" s="287"/>
      <c r="C1084" s="227"/>
      <c r="D1084" s="179"/>
      <c r="E1084" s="179"/>
      <c r="F1084" s="14">
        <f>SUM(F1064:F1083)</f>
        <v>70735.7</v>
      </c>
      <c r="G1084" s="14">
        <f>SUM(G1064:G1083)</f>
        <v>62217.4</v>
      </c>
      <c r="H1084" s="27">
        <f t="shared" ref="H1084:O1084" si="203">SUM(H1063:H1083)</f>
        <v>222386182.46000001</v>
      </c>
      <c r="I1084" s="27">
        <f t="shared" si="203"/>
        <v>66707405.82</v>
      </c>
      <c r="J1084" s="27">
        <f t="shared" si="203"/>
        <v>23694852.960000001</v>
      </c>
      <c r="K1084" s="27">
        <f t="shared" si="203"/>
        <v>101226332.65000001</v>
      </c>
      <c r="L1084" s="27">
        <f t="shared" si="203"/>
        <v>0</v>
      </c>
      <c r="M1084" s="27">
        <f t="shared" si="203"/>
        <v>21090391.699999999</v>
      </c>
      <c r="N1084" s="27">
        <f t="shared" si="203"/>
        <v>0</v>
      </c>
      <c r="O1084" s="27">
        <f t="shared" si="203"/>
        <v>9667199.3300000001</v>
      </c>
      <c r="P1084" s="15">
        <f>SUM(P1064:P1083)</f>
        <v>0</v>
      </c>
      <c r="Q1084" s="15">
        <f>SUM(Q1063:Q1083)</f>
        <v>16116129.460000001</v>
      </c>
      <c r="R1084" s="15">
        <f>SUM(R1064:R1083)</f>
        <v>0</v>
      </c>
      <c r="S1084" s="27">
        <f>SUM(S1064:S1083)</f>
        <v>206270053</v>
      </c>
      <c r="T1084" s="16" t="s">
        <v>31</v>
      </c>
      <c r="U1084" s="16" t="s">
        <v>31</v>
      </c>
    </row>
    <row r="1085" spans="1:21" ht="15.75">
      <c r="A1085" s="291" t="s">
        <v>755</v>
      </c>
      <c r="B1085" s="291"/>
      <c r="C1085" s="291"/>
      <c r="D1085" s="291"/>
      <c r="E1085" s="291"/>
      <c r="F1085" s="291"/>
      <c r="G1085" s="291"/>
      <c r="H1085" s="291"/>
      <c r="I1085" s="291"/>
      <c r="J1085" s="291"/>
      <c r="K1085" s="291"/>
      <c r="L1085" s="291"/>
      <c r="M1085" s="291"/>
      <c r="N1085" s="291"/>
      <c r="O1085" s="291"/>
      <c r="P1085" s="291"/>
      <c r="Q1085" s="291"/>
      <c r="R1085" s="291"/>
      <c r="S1085" s="291"/>
      <c r="T1085" s="291"/>
      <c r="U1085" s="291"/>
    </row>
    <row r="1086" spans="1:21" ht="15.75">
      <c r="A1086" s="182">
        <f>A1083+1</f>
        <v>366</v>
      </c>
      <c r="B1086" s="238" t="s">
        <v>756</v>
      </c>
      <c r="C1086" s="239">
        <v>1962</v>
      </c>
      <c r="D1086" s="240"/>
      <c r="E1086" s="240"/>
      <c r="F1086" s="241">
        <v>2766.9</v>
      </c>
      <c r="G1086" s="241">
        <v>2648.7</v>
      </c>
      <c r="H1086" s="1">
        <f>I1086+J1086+K1086+L1086+M1086+N1086+O1086</f>
        <v>37688832.030000001</v>
      </c>
      <c r="I1086" s="1">
        <f>ROUND((596.38+690.32+589.88+1074.75+4857.9)*G1086*1.015,2)</f>
        <v>20994572.109999999</v>
      </c>
      <c r="J1086" s="1">
        <v>0</v>
      </c>
      <c r="K1086" s="1">
        <f>ROUND(5975.33*G1086*1.015,2)</f>
        <v>16064259.42</v>
      </c>
      <c r="L1086" s="1">
        <v>0</v>
      </c>
      <c r="M1086" s="1">
        <v>0</v>
      </c>
      <c r="N1086" s="1">
        <v>0</v>
      </c>
      <c r="O1086" s="1">
        <v>630000.5</v>
      </c>
      <c r="P1086" s="1">
        <v>0</v>
      </c>
      <c r="Q1086" s="1">
        <v>0</v>
      </c>
      <c r="R1086" s="1">
        <v>0</v>
      </c>
      <c r="S1086" s="13">
        <f>H1086</f>
        <v>37688832.030000001</v>
      </c>
      <c r="T1086" s="182">
        <v>2022</v>
      </c>
      <c r="U1086" s="182">
        <v>2022</v>
      </c>
    </row>
    <row r="1087" spans="1:21" ht="15.75">
      <c r="A1087" s="182">
        <f>A1086+1</f>
        <v>367</v>
      </c>
      <c r="B1087" s="242" t="s">
        <v>757</v>
      </c>
      <c r="C1087" s="239">
        <v>1963</v>
      </c>
      <c r="D1087" s="240"/>
      <c r="E1087" s="240"/>
      <c r="F1087" s="243">
        <v>2711.4</v>
      </c>
      <c r="G1087" s="244">
        <v>2523.9</v>
      </c>
      <c r="H1087" s="1">
        <f>I1087+J1087+K1087+L1087+M1087+N1087+O1087</f>
        <v>25508357.68</v>
      </c>
      <c r="I1087" s="1">
        <v>0</v>
      </c>
      <c r="J1087" s="1">
        <v>0</v>
      </c>
      <c r="K1087" s="1">
        <v>0</v>
      </c>
      <c r="L1087" s="1">
        <v>0</v>
      </c>
      <c r="M1087" s="1">
        <f>ROUND(8635.27*G1087*1.015,2)</f>
        <v>22121476.32</v>
      </c>
      <c r="N1087" s="1">
        <f>ROUND(1135.41*G1087*1.015,2)</f>
        <v>2908646.22</v>
      </c>
      <c r="O1087" s="1">
        <v>478235.14</v>
      </c>
      <c r="P1087" s="1">
        <v>0</v>
      </c>
      <c r="Q1087" s="1">
        <v>0</v>
      </c>
      <c r="R1087" s="1">
        <v>0</v>
      </c>
      <c r="S1087" s="13">
        <f>H1087</f>
        <v>25508357.68</v>
      </c>
      <c r="T1087" s="182">
        <v>2022</v>
      </c>
      <c r="U1087" s="182">
        <v>2022</v>
      </c>
    </row>
    <row r="1088" spans="1:21" ht="15.75">
      <c r="A1088" s="182">
        <f>A1087+1</f>
        <v>368</v>
      </c>
      <c r="B1088" s="238" t="s">
        <v>758</v>
      </c>
      <c r="C1088" s="239">
        <v>1959</v>
      </c>
      <c r="D1088" s="240"/>
      <c r="E1088" s="240"/>
      <c r="F1088" s="245">
        <v>1976.6</v>
      </c>
      <c r="G1088" s="246">
        <v>1804.3</v>
      </c>
      <c r="H1088" s="1">
        <f>I1088+J1088+K1088+L1088+M1088+N1088+O1088</f>
        <v>44573579.299999997</v>
      </c>
      <c r="I1088" s="1">
        <f>ROUND((589.88+596.38+1074.75+4857.9+690.32)*G1088*1.015,2)</f>
        <v>14301546.59</v>
      </c>
      <c r="J1088" s="1"/>
      <c r="K1088" s="1">
        <f>ROUND(5975.33*G1088*1.015,2)</f>
        <v>10943007.24</v>
      </c>
      <c r="L1088" s="1">
        <v>0</v>
      </c>
      <c r="M1088" s="1">
        <f>ROUND(G1088*8635.27*1.015,2)</f>
        <v>15814326.93</v>
      </c>
      <c r="N1088" s="1">
        <f>ROUND(G1088*1462.9*1.015,2)</f>
        <v>2679103.13</v>
      </c>
      <c r="O1088" s="1">
        <v>835595.41</v>
      </c>
      <c r="P1088" s="1"/>
      <c r="Q1088" s="1"/>
      <c r="R1088" s="1"/>
      <c r="S1088" s="13">
        <f>H1088</f>
        <v>44573579.299999997</v>
      </c>
      <c r="T1088" s="182">
        <v>2022</v>
      </c>
      <c r="U1088" s="182">
        <v>2022</v>
      </c>
    </row>
    <row r="1089" spans="1:21" ht="15.75">
      <c r="A1089" s="182"/>
      <c r="B1089" s="247"/>
      <c r="C1089" s="248"/>
      <c r="D1089" s="240"/>
      <c r="E1089" s="240"/>
      <c r="F1089" s="245"/>
      <c r="G1089" s="246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3"/>
      <c r="T1089" s="182"/>
      <c r="U1089" s="182"/>
    </row>
    <row r="1090" spans="1:21" ht="15.75">
      <c r="A1090" s="290" t="s">
        <v>606</v>
      </c>
      <c r="B1090" s="290"/>
      <c r="C1090" s="83"/>
      <c r="D1090" s="116"/>
      <c r="E1090" s="116"/>
      <c r="F1090" s="14">
        <f>SUM(F1086:F1088)</f>
        <v>7454.9</v>
      </c>
      <c r="G1090" s="14">
        <f>SUM(G1086:G1088)</f>
        <v>6976.9</v>
      </c>
      <c r="H1090" s="27">
        <f>SUM(H1086:H1088)</f>
        <v>107770769.01000001</v>
      </c>
      <c r="I1090" s="27">
        <f>SUM(I1086:I1088)</f>
        <v>35296118.700000003</v>
      </c>
      <c r="J1090" s="15">
        <f t="shared" ref="J1090:R1090" si="204">SUM(J1086:J1088)</f>
        <v>0</v>
      </c>
      <c r="K1090" s="27">
        <f>SUM(K1086:K1088)</f>
        <v>27007266.66</v>
      </c>
      <c r="L1090" s="15">
        <f t="shared" si="204"/>
        <v>0</v>
      </c>
      <c r="M1090" s="27">
        <f>SUM(M1086:M1088)</f>
        <v>37935803.25</v>
      </c>
      <c r="N1090" s="27">
        <f>SUM(N1086:N1088)</f>
        <v>5587749.3499999996</v>
      </c>
      <c r="O1090" s="27">
        <f>SUM(O1086:O1088)</f>
        <v>1943831.05</v>
      </c>
      <c r="P1090" s="15">
        <f t="shared" si="204"/>
        <v>0</v>
      </c>
      <c r="Q1090" s="15">
        <f t="shared" si="204"/>
        <v>0</v>
      </c>
      <c r="R1090" s="15">
        <f t="shared" si="204"/>
        <v>0</v>
      </c>
      <c r="S1090" s="27">
        <f>SUM(S1086:S1088)</f>
        <v>107770769.01000001</v>
      </c>
      <c r="T1090" s="16" t="s">
        <v>31</v>
      </c>
      <c r="U1090" s="16" t="s">
        <v>31</v>
      </c>
    </row>
    <row r="1091" spans="1:21" ht="15.75" customHeight="1">
      <c r="A1091" s="289" t="s">
        <v>1057</v>
      </c>
      <c r="B1091" s="289"/>
      <c r="C1091" s="289"/>
      <c r="D1091" s="289"/>
      <c r="E1091" s="289"/>
      <c r="F1091" s="289"/>
      <c r="G1091" s="289"/>
      <c r="H1091" s="289"/>
      <c r="I1091" s="289"/>
      <c r="J1091" s="289"/>
      <c r="K1091" s="289"/>
      <c r="L1091" s="289"/>
      <c r="M1091" s="289"/>
      <c r="N1091" s="289"/>
      <c r="O1091" s="289"/>
      <c r="P1091" s="289"/>
      <c r="Q1091" s="289"/>
      <c r="R1091" s="289"/>
      <c r="S1091" s="289"/>
      <c r="T1091" s="289"/>
      <c r="U1091" s="289"/>
    </row>
    <row r="1092" spans="1:21" ht="15.75">
      <c r="A1092" s="298" t="s">
        <v>601</v>
      </c>
      <c r="B1092" s="299"/>
      <c r="C1092" s="299"/>
      <c r="D1092" s="299"/>
      <c r="E1092" s="299"/>
      <c r="F1092" s="299"/>
      <c r="G1092" s="299"/>
      <c r="H1092" s="299"/>
      <c r="I1092" s="299"/>
      <c r="J1092" s="299"/>
      <c r="K1092" s="299"/>
      <c r="L1092" s="299"/>
      <c r="M1092" s="299"/>
      <c r="N1092" s="299"/>
      <c r="O1092" s="299"/>
      <c r="P1092" s="299"/>
      <c r="Q1092" s="299"/>
      <c r="R1092" s="299"/>
      <c r="S1092" s="299"/>
      <c r="T1092" s="299"/>
      <c r="U1092" s="300"/>
    </row>
    <row r="1093" spans="1:21" ht="15.75">
      <c r="A1093" s="79">
        <f>A1088+1</f>
        <v>369</v>
      </c>
      <c r="B1093" s="186" t="s">
        <v>857</v>
      </c>
      <c r="C1093" s="81">
        <v>1975</v>
      </c>
      <c r="D1093" s="116"/>
      <c r="E1093" s="116"/>
      <c r="F1093" s="90">
        <v>4439.3</v>
      </c>
      <c r="G1093" s="90">
        <v>3459.9</v>
      </c>
      <c r="H1093" s="1">
        <f>I1093+J1093+K1093+L1093+M1093+N1093+O1093</f>
        <v>3449239.26</v>
      </c>
      <c r="I1093" s="1">
        <f>3127715+46915.73</f>
        <v>3174630.73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274608.53000000003</v>
      </c>
      <c r="P1093" s="1">
        <v>0</v>
      </c>
      <c r="Q1093" s="1">
        <v>0</v>
      </c>
      <c r="R1093" s="1">
        <v>0</v>
      </c>
      <c r="S1093" s="13">
        <f>H1093</f>
        <v>3449239.26</v>
      </c>
      <c r="T1093" s="79">
        <v>2022</v>
      </c>
      <c r="U1093" s="79">
        <v>2023</v>
      </c>
    </row>
    <row r="1094" spans="1:21" ht="15.75">
      <c r="A1094" s="79">
        <f>A1093+1</f>
        <v>370</v>
      </c>
      <c r="B1094" s="186" t="s">
        <v>858</v>
      </c>
      <c r="C1094" s="81">
        <v>1974</v>
      </c>
      <c r="D1094" s="116"/>
      <c r="E1094" s="116"/>
      <c r="F1094" s="90">
        <v>4691.3999999999996</v>
      </c>
      <c r="G1094" s="90">
        <v>3421.3</v>
      </c>
      <c r="H1094" s="1">
        <f>I1094+J1094+K1094+L1094+M1094+N1094+O1094</f>
        <v>4146586.22</v>
      </c>
      <c r="I1094" s="1">
        <f>3805436.3+57081.54</f>
        <v>3862517.84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284068.38</v>
      </c>
      <c r="P1094" s="1">
        <v>0</v>
      </c>
      <c r="Q1094" s="1">
        <v>0</v>
      </c>
      <c r="R1094" s="1">
        <v>0</v>
      </c>
      <c r="S1094" s="13">
        <f>H1094</f>
        <v>4146586.22</v>
      </c>
      <c r="T1094" s="79">
        <v>2022</v>
      </c>
      <c r="U1094" s="79">
        <v>2023</v>
      </c>
    </row>
    <row r="1095" spans="1:21" ht="15.75">
      <c r="A1095" s="79">
        <f>A1094+1</f>
        <v>371</v>
      </c>
      <c r="B1095" s="186" t="s">
        <v>859</v>
      </c>
      <c r="C1095" s="81">
        <v>1976</v>
      </c>
      <c r="D1095" s="116"/>
      <c r="E1095" s="116"/>
      <c r="F1095" s="90">
        <v>4611.1000000000004</v>
      </c>
      <c r="G1095" s="90">
        <v>3401.9</v>
      </c>
      <c r="H1095" s="1">
        <f>I1095+J1095+K1095+L1095+M1095+N1095+O1095</f>
        <v>3396021.36</v>
      </c>
      <c r="I1095" s="1">
        <f>3075283.58+46129.25</f>
        <v>3121412.83</v>
      </c>
      <c r="J1095" s="1">
        <v>0</v>
      </c>
      <c r="K1095" s="1">
        <v>0</v>
      </c>
      <c r="L1095" s="1">
        <v>0</v>
      </c>
      <c r="M1095" s="1">
        <v>0</v>
      </c>
      <c r="N1095" s="1">
        <v>0</v>
      </c>
      <c r="O1095" s="1">
        <v>274608.53000000003</v>
      </c>
      <c r="P1095" s="1">
        <v>0</v>
      </c>
      <c r="Q1095" s="1">
        <v>0</v>
      </c>
      <c r="R1095" s="1">
        <v>0</v>
      </c>
      <c r="S1095" s="13">
        <f>H1095</f>
        <v>3396021.36</v>
      </c>
      <c r="T1095" s="79">
        <v>2022</v>
      </c>
      <c r="U1095" s="79">
        <v>2023</v>
      </c>
    </row>
    <row r="1096" spans="1:21" ht="15.75">
      <c r="A1096" s="79">
        <f>A1095+1</f>
        <v>372</v>
      </c>
      <c r="B1096" s="186" t="s">
        <v>1061</v>
      </c>
      <c r="C1096" s="81">
        <v>1986</v>
      </c>
      <c r="D1096" s="116"/>
      <c r="E1096" s="116"/>
      <c r="F1096" s="90">
        <v>277</v>
      </c>
      <c r="G1096" s="90">
        <v>196.7</v>
      </c>
      <c r="H1096" s="1">
        <f>I1096+J1096+K1096+L1096+M1096+N1096+O1096</f>
        <v>1390786.71</v>
      </c>
      <c r="I1096" s="1"/>
      <c r="J1096" s="1"/>
      <c r="K1096" s="1">
        <v>1314787.44</v>
      </c>
      <c r="L1096" s="1"/>
      <c r="M1096" s="1"/>
      <c r="N1096" s="1"/>
      <c r="O1096" s="1">
        <v>75999.27</v>
      </c>
      <c r="P1096" s="1"/>
      <c r="Q1096" s="1">
        <f>H1096</f>
        <v>1390786.71</v>
      </c>
      <c r="R1096" s="1"/>
      <c r="S1096" s="13"/>
      <c r="T1096" s="79">
        <v>2022</v>
      </c>
      <c r="U1096" s="79">
        <v>2023</v>
      </c>
    </row>
    <row r="1097" spans="1:21" ht="15.75">
      <c r="A1097" s="290" t="s">
        <v>606</v>
      </c>
      <c r="B1097" s="290"/>
      <c r="C1097" s="83"/>
      <c r="D1097" s="116"/>
      <c r="E1097" s="116"/>
      <c r="F1097" s="14">
        <f>SUM(F1093:F1096)</f>
        <v>14018.8</v>
      </c>
      <c r="G1097" s="14">
        <f>SUM(G1093:G1096)</f>
        <v>10479.799999999999</v>
      </c>
      <c r="H1097" s="27">
        <f>SUM(H1093:H1096)</f>
        <v>12382633.550000001</v>
      </c>
      <c r="I1097" s="27">
        <f>SUM(I1093:I1095)</f>
        <v>10158561.4</v>
      </c>
      <c r="J1097" s="15">
        <f t="shared" ref="J1097:R1097" si="205">SUM(J1093:J1095)</f>
        <v>0</v>
      </c>
      <c r="K1097" s="15">
        <f>SUM(K1093:K1096)</f>
        <v>1314787.44</v>
      </c>
      <c r="L1097" s="15">
        <f t="shared" si="205"/>
        <v>0</v>
      </c>
      <c r="M1097" s="15">
        <f t="shared" si="205"/>
        <v>0</v>
      </c>
      <c r="N1097" s="15">
        <f t="shared" si="205"/>
        <v>0</v>
      </c>
      <c r="O1097" s="27">
        <f>SUM(O1093:O1096)</f>
        <v>909284.71</v>
      </c>
      <c r="P1097" s="15">
        <f t="shared" si="205"/>
        <v>0</v>
      </c>
      <c r="Q1097" s="15">
        <f>SUM(Q1093:Q1096)</f>
        <v>1390786.71</v>
      </c>
      <c r="R1097" s="15">
        <f t="shared" si="205"/>
        <v>0</v>
      </c>
      <c r="S1097" s="27">
        <f>SUM(S1093:S1095)</f>
        <v>10991846.84</v>
      </c>
      <c r="T1097" s="16" t="s">
        <v>31</v>
      </c>
      <c r="U1097" s="16" t="s">
        <v>31</v>
      </c>
    </row>
    <row r="1098" spans="1:21" ht="15.75">
      <c r="A1098" s="289" t="s">
        <v>591</v>
      </c>
      <c r="B1098" s="289"/>
      <c r="C1098" s="289"/>
      <c r="D1098" s="289"/>
      <c r="E1098" s="289"/>
      <c r="F1098" s="289"/>
      <c r="G1098" s="289"/>
      <c r="H1098" s="289"/>
      <c r="I1098" s="289"/>
      <c r="J1098" s="289"/>
      <c r="K1098" s="289"/>
      <c r="L1098" s="289"/>
      <c r="M1098" s="289"/>
      <c r="N1098" s="289"/>
      <c r="O1098" s="289"/>
      <c r="P1098" s="289"/>
      <c r="Q1098" s="289"/>
      <c r="R1098" s="289"/>
      <c r="S1098" s="289"/>
      <c r="T1098" s="289"/>
      <c r="U1098" s="289"/>
    </row>
    <row r="1099" spans="1:21" ht="15.75">
      <c r="A1099" s="79">
        <f>A1096+1</f>
        <v>373</v>
      </c>
      <c r="B1099" s="186" t="s">
        <v>759</v>
      </c>
      <c r="C1099" s="81">
        <v>1986</v>
      </c>
      <c r="D1099" s="79"/>
      <c r="E1099" s="79"/>
      <c r="F1099" s="90">
        <v>1049.8</v>
      </c>
      <c r="G1099" s="90">
        <v>918</v>
      </c>
      <c r="H1099" s="1">
        <f>I1099+J1099+K1099+L1099+M1099+N1099+O1099</f>
        <v>8237730.7999999998</v>
      </c>
      <c r="I1099" s="1">
        <v>0</v>
      </c>
      <c r="J1099" s="1">
        <v>0</v>
      </c>
      <c r="K1099" s="1">
        <f>ROUND(G1099*8645.31*1.015,2)</f>
        <v>8055440.5</v>
      </c>
      <c r="L1099" s="1">
        <v>0</v>
      </c>
      <c r="M1099" s="1">
        <v>0</v>
      </c>
      <c r="N1099" s="1">
        <v>0</v>
      </c>
      <c r="O1099" s="163">
        <v>182290.3</v>
      </c>
      <c r="P1099" s="1">
        <v>0</v>
      </c>
      <c r="Q1099" s="1">
        <v>0</v>
      </c>
      <c r="R1099" s="1">
        <v>0</v>
      </c>
      <c r="S1099" s="13">
        <f>H1099</f>
        <v>8237730.7999999998</v>
      </c>
      <c r="T1099" s="79">
        <v>2022</v>
      </c>
      <c r="U1099" s="79">
        <v>2022</v>
      </c>
    </row>
    <row r="1100" spans="1:21" ht="15.75">
      <c r="A1100" s="290" t="s">
        <v>606</v>
      </c>
      <c r="B1100" s="290"/>
      <c r="C1100" s="81"/>
      <c r="D1100" s="79"/>
      <c r="E1100" s="79"/>
      <c r="F1100" s="14">
        <f t="shared" ref="F1100:S1100" si="206">SUM(F1099:F1099)</f>
        <v>1049.8</v>
      </c>
      <c r="G1100" s="14">
        <f t="shared" si="206"/>
        <v>918</v>
      </c>
      <c r="H1100" s="27">
        <f t="shared" si="206"/>
        <v>8237730.7999999998</v>
      </c>
      <c r="I1100" s="15">
        <f>SUM(I1099:I1099)</f>
        <v>0</v>
      </c>
      <c r="J1100" s="15">
        <f t="shared" si="206"/>
        <v>0</v>
      </c>
      <c r="K1100" s="15">
        <f t="shared" si="206"/>
        <v>8055440.5</v>
      </c>
      <c r="L1100" s="15">
        <f t="shared" si="206"/>
        <v>0</v>
      </c>
      <c r="M1100" s="15">
        <f t="shared" si="206"/>
        <v>0</v>
      </c>
      <c r="N1100" s="15">
        <f t="shared" si="206"/>
        <v>0</v>
      </c>
      <c r="O1100" s="15">
        <f t="shared" si="206"/>
        <v>182290.3</v>
      </c>
      <c r="P1100" s="15">
        <f t="shared" si="206"/>
        <v>0</v>
      </c>
      <c r="Q1100" s="15">
        <f t="shared" si="206"/>
        <v>0</v>
      </c>
      <c r="R1100" s="15">
        <f t="shared" si="206"/>
        <v>0</v>
      </c>
      <c r="S1100" s="27">
        <f t="shared" si="206"/>
        <v>8237730.7999999998</v>
      </c>
      <c r="T1100" s="16" t="s">
        <v>31</v>
      </c>
      <c r="U1100" s="16" t="s">
        <v>31</v>
      </c>
    </row>
    <row r="1101" spans="1:21" ht="15.75">
      <c r="A1101" s="289" t="s">
        <v>593</v>
      </c>
      <c r="B1101" s="289"/>
      <c r="C1101" s="289"/>
      <c r="D1101" s="289"/>
      <c r="E1101" s="289"/>
      <c r="F1101" s="289"/>
      <c r="G1101" s="289"/>
      <c r="H1101" s="289"/>
      <c r="I1101" s="289"/>
      <c r="J1101" s="289"/>
      <c r="K1101" s="289"/>
      <c r="L1101" s="289"/>
      <c r="M1101" s="289"/>
      <c r="N1101" s="289"/>
      <c r="O1101" s="289"/>
      <c r="P1101" s="289"/>
      <c r="Q1101" s="289"/>
      <c r="R1101" s="289"/>
      <c r="S1101" s="289"/>
      <c r="T1101" s="289"/>
      <c r="U1101" s="289"/>
    </row>
    <row r="1102" spans="1:21" ht="15.75">
      <c r="A1102" s="182">
        <f>A1099+1</f>
        <v>374</v>
      </c>
      <c r="B1102" s="186" t="s">
        <v>600</v>
      </c>
      <c r="C1102" s="190">
        <v>1958</v>
      </c>
      <c r="D1102" s="176"/>
      <c r="E1102" s="176"/>
      <c r="F1102" s="12">
        <v>5270.5</v>
      </c>
      <c r="G1102" s="12">
        <v>4351.3</v>
      </c>
      <c r="H1102" s="1">
        <f t="shared" ref="H1102:H1107" si="207">I1102+J1102+K1102+L1102+M1102+N1102+O1102</f>
        <v>12329580.279999999</v>
      </c>
      <c r="I1102" s="1">
        <v>0</v>
      </c>
      <c r="J1102" s="1">
        <v>0</v>
      </c>
      <c r="K1102" s="1">
        <v>0</v>
      </c>
      <c r="L1102" s="1">
        <v>0</v>
      </c>
      <c r="M1102" s="1">
        <f>ROUND(2647.87*G1102*1.015,2)</f>
        <v>11694501.880000001</v>
      </c>
      <c r="N1102" s="1">
        <v>0</v>
      </c>
      <c r="O1102" s="236">
        <v>635078.40000000002</v>
      </c>
      <c r="P1102" s="1">
        <v>0</v>
      </c>
      <c r="Q1102" s="1">
        <v>0</v>
      </c>
      <c r="R1102" s="1">
        <v>0</v>
      </c>
      <c r="S1102" s="13">
        <f>H1102</f>
        <v>12329580.279999999</v>
      </c>
      <c r="T1102" s="182">
        <v>2021</v>
      </c>
      <c r="U1102" s="182">
        <v>2022</v>
      </c>
    </row>
    <row r="1103" spans="1:21" ht="15.75">
      <c r="A1103" s="182">
        <f>A1102+1</f>
        <v>375</v>
      </c>
      <c r="B1103" s="186" t="s">
        <v>760</v>
      </c>
      <c r="C1103" s="190">
        <v>1962</v>
      </c>
      <c r="D1103" s="176"/>
      <c r="E1103" s="176"/>
      <c r="F1103" s="12">
        <v>5511.3</v>
      </c>
      <c r="G1103" s="12">
        <v>4878.7</v>
      </c>
      <c r="H1103" s="1">
        <f t="shared" si="207"/>
        <v>19261441.870000001</v>
      </c>
      <c r="I1103" s="1">
        <v>0</v>
      </c>
      <c r="J1103" s="1">
        <v>0</v>
      </c>
      <c r="K1103" s="1">
        <f>ROUND(G1103*3727.29*1.015,2)</f>
        <v>18457094.670000002</v>
      </c>
      <c r="L1103" s="1">
        <v>0</v>
      </c>
      <c r="M1103" s="1">
        <v>0</v>
      </c>
      <c r="N1103" s="1">
        <v>0</v>
      </c>
      <c r="O1103" s="236">
        <v>804347.2</v>
      </c>
      <c r="P1103" s="1">
        <v>0</v>
      </c>
      <c r="Q1103" s="1">
        <v>0</v>
      </c>
      <c r="R1103" s="1">
        <v>0</v>
      </c>
      <c r="S1103" s="13">
        <f>H1103</f>
        <v>19261441.870000001</v>
      </c>
      <c r="T1103" s="182">
        <v>2022</v>
      </c>
      <c r="U1103" s="182">
        <v>2022</v>
      </c>
    </row>
    <row r="1104" spans="1:21" ht="15.75">
      <c r="A1104" s="182">
        <f>A1103+1</f>
        <v>376</v>
      </c>
      <c r="B1104" s="186" t="s">
        <v>761</v>
      </c>
      <c r="C1104" s="190">
        <v>1986</v>
      </c>
      <c r="D1104" s="176"/>
      <c r="E1104" s="176"/>
      <c r="F1104" s="12">
        <v>5846.7</v>
      </c>
      <c r="G1104" s="12">
        <v>4992.8999999999996</v>
      </c>
      <c r="H1104" s="1">
        <f t="shared" si="207"/>
        <v>19710283.829999998</v>
      </c>
      <c r="I1104" s="1">
        <v>0</v>
      </c>
      <c r="J1104" s="1">
        <v>0</v>
      </c>
      <c r="K1104" s="1">
        <f>ROUND(3727.29*G1104*1.015,2)</f>
        <v>18889136.030000001</v>
      </c>
      <c r="L1104" s="1">
        <v>0</v>
      </c>
      <c r="M1104" s="1">
        <v>0</v>
      </c>
      <c r="N1104" s="1">
        <v>0</v>
      </c>
      <c r="O1104" s="236">
        <v>821147.8</v>
      </c>
      <c r="P1104" s="1">
        <v>0</v>
      </c>
      <c r="Q1104" s="1"/>
      <c r="R1104" s="1">
        <v>0</v>
      </c>
      <c r="S1104" s="13">
        <f>H1104</f>
        <v>19710283.829999998</v>
      </c>
      <c r="T1104" s="182">
        <v>2022</v>
      </c>
      <c r="U1104" s="182">
        <v>2023</v>
      </c>
    </row>
    <row r="1105" spans="1:22" ht="15.75">
      <c r="A1105" s="182">
        <f>A1104+1</f>
        <v>377</v>
      </c>
      <c r="B1105" s="186" t="s">
        <v>762</v>
      </c>
      <c r="C1105" s="190">
        <v>1988</v>
      </c>
      <c r="D1105" s="176"/>
      <c r="E1105" s="176"/>
      <c r="F1105" s="12">
        <v>3205.5</v>
      </c>
      <c r="G1105" s="12">
        <v>2901.6</v>
      </c>
      <c r="H1105" s="1">
        <f t="shared" si="207"/>
        <v>11454293.810000001</v>
      </c>
      <c r="I1105" s="1">
        <v>0</v>
      </c>
      <c r="J1105" s="1">
        <v>0</v>
      </c>
      <c r="K1105" s="1">
        <f>ROUND(3655.981007*G1105*1.015,2)</f>
        <v>10767317.41</v>
      </c>
      <c r="L1105" s="1">
        <v>0</v>
      </c>
      <c r="M1105" s="1">
        <v>0</v>
      </c>
      <c r="N1105" s="1">
        <v>0</v>
      </c>
      <c r="O1105" s="236">
        <v>686976.4</v>
      </c>
      <c r="P1105" s="1">
        <v>0</v>
      </c>
      <c r="Q1105" s="1">
        <v>0</v>
      </c>
      <c r="R1105" s="1">
        <v>0</v>
      </c>
      <c r="S1105" s="13">
        <f>H1105</f>
        <v>11454293.810000001</v>
      </c>
      <c r="T1105" s="182">
        <v>2022</v>
      </c>
      <c r="U1105" s="182">
        <v>2023</v>
      </c>
    </row>
    <row r="1106" spans="1:22" ht="15.75">
      <c r="A1106" s="182">
        <f>A1105+1</f>
        <v>378</v>
      </c>
      <c r="B1106" s="186" t="s">
        <v>763</v>
      </c>
      <c r="C1106" s="190">
        <v>1968</v>
      </c>
      <c r="D1106" s="176"/>
      <c r="E1106" s="176"/>
      <c r="F1106" s="12">
        <v>5090.8</v>
      </c>
      <c r="G1106" s="12">
        <v>4747.1000000000004</v>
      </c>
      <c r="H1106" s="1">
        <f t="shared" si="207"/>
        <v>18751107.940000001</v>
      </c>
      <c r="I1106" s="1">
        <v>0</v>
      </c>
      <c r="J1106" s="1">
        <v>0</v>
      </c>
      <c r="K1106" s="1">
        <f>ROUND(3727.29*G1106*1.015,2)+0.01</f>
        <v>17959225.640000001</v>
      </c>
      <c r="L1106" s="1">
        <v>0</v>
      </c>
      <c r="M1106" s="1">
        <v>0</v>
      </c>
      <c r="N1106" s="1">
        <v>0</v>
      </c>
      <c r="O1106" s="236">
        <v>791882.3</v>
      </c>
      <c r="P1106" s="1">
        <v>0</v>
      </c>
      <c r="Q1106" s="1">
        <v>0</v>
      </c>
      <c r="R1106" s="1">
        <v>0</v>
      </c>
      <c r="S1106" s="13">
        <f>H1106</f>
        <v>18751107.940000001</v>
      </c>
      <c r="T1106" s="182">
        <v>2022</v>
      </c>
      <c r="U1106" s="182">
        <v>2023</v>
      </c>
    </row>
    <row r="1107" spans="1:22" ht="15.75">
      <c r="A1107" s="182">
        <f>A1106+1</f>
        <v>379</v>
      </c>
      <c r="B1107" s="186" t="s">
        <v>1062</v>
      </c>
      <c r="C1107" s="190">
        <v>1956</v>
      </c>
      <c r="D1107" s="176"/>
      <c r="E1107" s="176"/>
      <c r="F1107" s="12">
        <v>563.9</v>
      </c>
      <c r="G1107" s="12">
        <v>519.9</v>
      </c>
      <c r="H1107" s="1">
        <f t="shared" si="207"/>
        <v>7582989.4100000001</v>
      </c>
      <c r="I1107" s="1"/>
      <c r="J1107" s="1"/>
      <c r="K1107" s="1">
        <v>7298403.1299999999</v>
      </c>
      <c r="L1107" s="1"/>
      <c r="M1107" s="1"/>
      <c r="N1107" s="1"/>
      <c r="O1107" s="236">
        <v>284586.28000000003</v>
      </c>
      <c r="P1107" s="1"/>
      <c r="Q1107" s="1">
        <f>H1107</f>
        <v>7582989.4100000001</v>
      </c>
      <c r="R1107" s="1"/>
      <c r="S1107" s="13"/>
      <c r="T1107" s="182">
        <v>2022</v>
      </c>
      <c r="U1107" s="182">
        <v>2023</v>
      </c>
      <c r="V1107" s="155"/>
    </row>
    <row r="1108" spans="1:22" ht="15.75">
      <c r="A1108" s="287" t="s">
        <v>606</v>
      </c>
      <c r="B1108" s="287"/>
      <c r="C1108" s="190"/>
      <c r="D1108" s="182"/>
      <c r="E1108" s="182"/>
      <c r="F1108" s="14">
        <f>SUM(F1102:F1107)</f>
        <v>25488.7</v>
      </c>
      <c r="G1108" s="14">
        <f>SUM(G1102:G1107)</f>
        <v>22391.5</v>
      </c>
      <c r="H1108" s="15">
        <f>SUM(H1102:H1107)</f>
        <v>89089697.140000001</v>
      </c>
      <c r="I1108" s="15">
        <f t="shared" ref="I1108:R1108" si="208">SUM(I1102:I1106)</f>
        <v>0</v>
      </c>
      <c r="J1108" s="15">
        <f t="shared" si="208"/>
        <v>0</v>
      </c>
      <c r="K1108" s="27">
        <f>SUM(K1102:K1107)</f>
        <v>73371176.879999995</v>
      </c>
      <c r="L1108" s="15">
        <f t="shared" si="208"/>
        <v>0</v>
      </c>
      <c r="M1108" s="27">
        <f t="shared" si="208"/>
        <v>11694501.880000001</v>
      </c>
      <c r="N1108" s="15">
        <f t="shared" si="208"/>
        <v>0</v>
      </c>
      <c r="O1108" s="27">
        <f>SUM(O1102:O1107)</f>
        <v>4024018.38</v>
      </c>
      <c r="P1108" s="15">
        <f t="shared" si="208"/>
        <v>0</v>
      </c>
      <c r="Q1108" s="15">
        <f>SUM(Q1102:Q1107)</f>
        <v>7582989.4100000001</v>
      </c>
      <c r="R1108" s="15">
        <f t="shared" si="208"/>
        <v>0</v>
      </c>
      <c r="S1108" s="27">
        <f>SUM(S1102:S1107)</f>
        <v>81506707.730000004</v>
      </c>
      <c r="T1108" s="16" t="s">
        <v>31</v>
      </c>
      <c r="U1108" s="16" t="s">
        <v>31</v>
      </c>
    </row>
    <row r="1109" spans="1:22" ht="15.75">
      <c r="A1109" s="287" t="s">
        <v>1086</v>
      </c>
      <c r="B1109" s="287"/>
      <c r="C1109" s="227"/>
      <c r="D1109" s="179"/>
      <c r="E1109" s="179"/>
      <c r="F1109" s="35">
        <f t="shared" ref="F1109:S1109" si="209">F1100+F1108+F1097</f>
        <v>40557.300000000003</v>
      </c>
      <c r="G1109" s="35">
        <f t="shared" si="209"/>
        <v>33789.300000000003</v>
      </c>
      <c r="H1109" s="27">
        <f>H1100+H1108+H1097</f>
        <v>109710061.48999999</v>
      </c>
      <c r="I1109" s="15">
        <f>I1100+I1108+I1097</f>
        <v>10158561.4</v>
      </c>
      <c r="J1109" s="15">
        <f t="shared" si="209"/>
        <v>0</v>
      </c>
      <c r="K1109" s="27">
        <f t="shared" si="209"/>
        <v>82741404.819999993</v>
      </c>
      <c r="L1109" s="15">
        <f t="shared" si="209"/>
        <v>0</v>
      </c>
      <c r="M1109" s="27">
        <f t="shared" si="209"/>
        <v>11694501.880000001</v>
      </c>
      <c r="N1109" s="15">
        <f t="shared" si="209"/>
        <v>0</v>
      </c>
      <c r="O1109" s="27">
        <f t="shared" si="209"/>
        <v>5115593.3899999997</v>
      </c>
      <c r="P1109" s="15">
        <f t="shared" si="209"/>
        <v>0</v>
      </c>
      <c r="Q1109" s="15">
        <f>Q1100+Q1108+Q1097</f>
        <v>8973776.1199999992</v>
      </c>
      <c r="R1109" s="15">
        <f t="shared" si="209"/>
        <v>0</v>
      </c>
      <c r="S1109" s="27">
        <f t="shared" si="209"/>
        <v>100736285.37</v>
      </c>
      <c r="T1109" s="16" t="s">
        <v>31</v>
      </c>
      <c r="U1109" s="16" t="s">
        <v>31</v>
      </c>
    </row>
    <row r="1110" spans="1:22" ht="15.75" customHeight="1">
      <c r="A1110" s="291" t="s">
        <v>1058</v>
      </c>
      <c r="B1110" s="291"/>
      <c r="C1110" s="291"/>
      <c r="D1110" s="291"/>
      <c r="E1110" s="291"/>
      <c r="F1110" s="291"/>
      <c r="G1110" s="291"/>
      <c r="H1110" s="291"/>
      <c r="I1110" s="291"/>
      <c r="J1110" s="291"/>
      <c r="K1110" s="291"/>
      <c r="L1110" s="291"/>
      <c r="M1110" s="291"/>
      <c r="N1110" s="291"/>
      <c r="O1110" s="291"/>
      <c r="P1110" s="291"/>
      <c r="Q1110" s="291"/>
      <c r="R1110" s="291"/>
      <c r="S1110" s="291"/>
      <c r="T1110" s="291"/>
      <c r="U1110" s="291"/>
    </row>
    <row r="1111" spans="1:22" ht="15.75">
      <c r="A1111" s="292" t="s">
        <v>848</v>
      </c>
      <c r="B1111" s="293"/>
      <c r="C1111" s="293"/>
      <c r="D1111" s="293"/>
      <c r="E1111" s="293"/>
      <c r="F1111" s="293"/>
      <c r="G1111" s="293"/>
      <c r="H1111" s="293"/>
      <c r="I1111" s="293"/>
      <c r="J1111" s="293"/>
      <c r="K1111" s="293"/>
      <c r="L1111" s="293"/>
      <c r="M1111" s="293"/>
      <c r="N1111" s="293"/>
      <c r="O1111" s="293"/>
      <c r="P1111" s="293"/>
      <c r="Q1111" s="293"/>
      <c r="R1111" s="293"/>
      <c r="S1111" s="293"/>
      <c r="T1111" s="293"/>
      <c r="U1111" s="294"/>
    </row>
    <row r="1112" spans="1:22" ht="15.75">
      <c r="A1112" s="182">
        <f>A1107+1</f>
        <v>380</v>
      </c>
      <c r="B1112" s="186" t="s">
        <v>849</v>
      </c>
      <c r="C1112" s="190">
        <v>1968</v>
      </c>
      <c r="D1112" s="12"/>
      <c r="E1112" s="12"/>
      <c r="F1112" s="12">
        <v>3543.4</v>
      </c>
      <c r="G1112" s="12">
        <v>3281.6</v>
      </c>
      <c r="H1112" s="1">
        <f>I1112+J1112+K1112+L1112+M1112+N1112+O1112</f>
        <v>886554.4</v>
      </c>
      <c r="I1112" s="1">
        <v>0</v>
      </c>
      <c r="J1112" s="1">
        <v>0</v>
      </c>
      <c r="K1112" s="1">
        <v>0</v>
      </c>
      <c r="L1112" s="1">
        <v>0</v>
      </c>
      <c r="M1112" s="236"/>
      <c r="N1112" s="1">
        <v>0</v>
      </c>
      <c r="O1112" s="236">
        <v>886554.4</v>
      </c>
      <c r="P1112" s="1">
        <v>0</v>
      </c>
      <c r="Q1112" s="1">
        <f>O1112+M1112</f>
        <v>886554.4</v>
      </c>
      <c r="R1112" s="1">
        <v>0</v>
      </c>
      <c r="S1112" s="1">
        <v>0</v>
      </c>
      <c r="T1112" s="182">
        <v>2022</v>
      </c>
      <c r="U1112" s="182">
        <v>2023</v>
      </c>
    </row>
    <row r="1113" spans="1:22" ht="15.75">
      <c r="A1113" s="182">
        <f>A1112+1</f>
        <v>381</v>
      </c>
      <c r="B1113" s="186" t="s">
        <v>850</v>
      </c>
      <c r="C1113" s="190">
        <v>1963</v>
      </c>
      <c r="D1113" s="12"/>
      <c r="E1113" s="12"/>
      <c r="F1113" s="12">
        <v>1601</v>
      </c>
      <c r="G1113" s="12">
        <v>1494.3</v>
      </c>
      <c r="H1113" s="1">
        <f>I1113+J1113+K1113+L1113+M1113+N1113+O1113</f>
        <v>9955866.3900000006</v>
      </c>
      <c r="I1113" s="1">
        <v>0</v>
      </c>
      <c r="J1113" s="1">
        <v>0</v>
      </c>
      <c r="K1113" s="1">
        <v>8928935.6199999992</v>
      </c>
      <c r="L1113" s="1">
        <v>0</v>
      </c>
      <c r="M1113" s="236"/>
      <c r="N1113" s="1">
        <v>0</v>
      </c>
      <c r="O1113" s="236">
        <f>625025.49+401905.28</f>
        <v>1026930.77</v>
      </c>
      <c r="P1113" s="1">
        <v>0</v>
      </c>
      <c r="Q1113" s="172">
        <f>O1113+K1113+M1113-S1113</f>
        <v>9553961.1099999994</v>
      </c>
      <c r="R1113" s="1">
        <v>0</v>
      </c>
      <c r="S1113" s="172">
        <v>401905.28</v>
      </c>
      <c r="T1113" s="182">
        <v>2022</v>
      </c>
      <c r="U1113" s="182">
        <v>2023</v>
      </c>
    </row>
    <row r="1114" spans="1:22" ht="15.75">
      <c r="A1114" s="182">
        <f>A1113+1</f>
        <v>382</v>
      </c>
      <c r="B1114" s="186" t="s">
        <v>851</v>
      </c>
      <c r="C1114" s="190">
        <v>1966</v>
      </c>
      <c r="D1114" s="179"/>
      <c r="E1114" s="179"/>
      <c r="F1114" s="12">
        <v>3407.4</v>
      </c>
      <c r="G1114" s="12">
        <v>3169.4</v>
      </c>
      <c r="H1114" s="1">
        <f>I1114+J1114+K1114+L1114+M1114+N1114+O1114</f>
        <v>13947715.43</v>
      </c>
      <c r="I1114" s="27">
        <f t="shared" ref="I1114:J1116" si="210">SUM(I1110:I1113)</f>
        <v>0</v>
      </c>
      <c r="J1114" s="27">
        <f t="shared" si="210"/>
        <v>0</v>
      </c>
      <c r="K1114" s="1">
        <v>12218639.189999999</v>
      </c>
      <c r="L1114" s="27">
        <f>SUM(L1110:L1113)</f>
        <v>0</v>
      </c>
      <c r="M1114" s="236"/>
      <c r="N1114" s="27">
        <f>SUM(N1110:N1113)</f>
        <v>0</v>
      </c>
      <c r="O1114" s="236">
        <f>873771.5+855304.74</f>
        <v>1729076.24</v>
      </c>
      <c r="P1114" s="1">
        <v>0</v>
      </c>
      <c r="Q1114" s="1">
        <f>O1114+M1114+K1114</f>
        <v>13947715.43</v>
      </c>
      <c r="R1114" s="1">
        <v>0</v>
      </c>
      <c r="S1114" s="172">
        <v>0</v>
      </c>
      <c r="T1114" s="182">
        <v>2022</v>
      </c>
      <c r="U1114" s="182">
        <v>2023</v>
      </c>
    </row>
    <row r="1115" spans="1:22" ht="15.75">
      <c r="A1115" s="182">
        <f>A1114+1</f>
        <v>383</v>
      </c>
      <c r="B1115" s="186" t="s">
        <v>852</v>
      </c>
      <c r="C1115" s="190">
        <v>1960</v>
      </c>
      <c r="D1115" s="179"/>
      <c r="E1115" s="179"/>
      <c r="F1115" s="12">
        <v>1045.0999999999999</v>
      </c>
      <c r="G1115" s="12">
        <v>971.6</v>
      </c>
      <c r="H1115" s="1">
        <f>I1115+J1115+K1115+L1115+M1115+N1115+O1115</f>
        <v>431748.4</v>
      </c>
      <c r="I1115" s="27">
        <f t="shared" si="210"/>
        <v>0</v>
      </c>
      <c r="J1115" s="27">
        <f t="shared" si="210"/>
        <v>0</v>
      </c>
      <c r="K1115" s="1">
        <v>0</v>
      </c>
      <c r="L1115" s="27">
        <f>SUM(L1111:L1114)</f>
        <v>0</v>
      </c>
      <c r="M1115" s="236"/>
      <c r="N1115" s="27">
        <f>SUM(N1111:N1114)</f>
        <v>0</v>
      </c>
      <c r="O1115" s="236">
        <v>431748.4</v>
      </c>
      <c r="P1115" s="1">
        <v>0</v>
      </c>
      <c r="Q1115" s="172">
        <f>O1115+M1115-S1115</f>
        <v>0</v>
      </c>
      <c r="R1115" s="1">
        <v>0</v>
      </c>
      <c r="S1115" s="172">
        <f>H1115</f>
        <v>431748.4</v>
      </c>
      <c r="T1115" s="182">
        <v>2022</v>
      </c>
      <c r="U1115" s="182">
        <v>2023</v>
      </c>
    </row>
    <row r="1116" spans="1:22" ht="15.75">
      <c r="A1116" s="287" t="s">
        <v>606</v>
      </c>
      <c r="B1116" s="287"/>
      <c r="C1116" s="227"/>
      <c r="D1116" s="179"/>
      <c r="E1116" s="179"/>
      <c r="F1116" s="14">
        <f>SUM(F1112:F1115)</f>
        <v>9596.9</v>
      </c>
      <c r="G1116" s="14">
        <f>SUM(G1112:G1115)</f>
        <v>8916.9</v>
      </c>
      <c r="H1116" s="27">
        <f>SUM(H1112:H1115)</f>
        <v>25221884.620000001</v>
      </c>
      <c r="I1116" s="15">
        <f>SUM(I1112:I1115)</f>
        <v>0</v>
      </c>
      <c r="J1116" s="15">
        <f t="shared" si="210"/>
        <v>0</v>
      </c>
      <c r="K1116" s="15">
        <f>SUM(K1112:K1115)</f>
        <v>21147574.809999999</v>
      </c>
      <c r="L1116" s="15">
        <f>SUM(L1112:L1115)</f>
        <v>0</v>
      </c>
      <c r="M1116" s="15">
        <f>SUM(M1112:M1115)</f>
        <v>0</v>
      </c>
      <c r="N1116" s="15">
        <f>SUM(N1112:N1115)</f>
        <v>0</v>
      </c>
      <c r="O1116" s="15">
        <f>SUM(O1112:O1115)</f>
        <v>4074309.81</v>
      </c>
      <c r="P1116" s="15">
        <f>SUM(P1112:P1115)</f>
        <v>0</v>
      </c>
      <c r="Q1116" s="15">
        <f>SUM(Q1112:Q1115)</f>
        <v>24388230.940000001</v>
      </c>
      <c r="R1116" s="15">
        <f>SUM(R1112:R1115)</f>
        <v>0</v>
      </c>
      <c r="S1116" s="27">
        <f>SUM(S1112:S1115)</f>
        <v>833653.68</v>
      </c>
      <c r="T1116" s="16" t="s">
        <v>31</v>
      </c>
      <c r="U1116" s="16" t="s">
        <v>31</v>
      </c>
      <c r="V1116" s="155"/>
    </row>
    <row r="1117" spans="1:22" ht="15.75">
      <c r="A1117" s="291" t="s">
        <v>608</v>
      </c>
      <c r="B1117" s="291"/>
      <c r="C1117" s="291"/>
      <c r="D1117" s="291"/>
      <c r="E1117" s="291"/>
      <c r="F1117" s="291"/>
      <c r="G1117" s="291"/>
      <c r="H1117" s="291"/>
      <c r="I1117" s="291"/>
      <c r="J1117" s="291"/>
      <c r="K1117" s="291"/>
      <c r="L1117" s="291"/>
      <c r="M1117" s="291"/>
      <c r="N1117" s="291"/>
      <c r="O1117" s="291"/>
      <c r="P1117" s="291"/>
      <c r="Q1117" s="291"/>
      <c r="R1117" s="291"/>
      <c r="S1117" s="291"/>
      <c r="T1117" s="291"/>
      <c r="U1117" s="291"/>
    </row>
    <row r="1118" spans="1:22" ht="15.75">
      <c r="A1118" s="182">
        <f>A1115+1</f>
        <v>384</v>
      </c>
      <c r="B1118" s="249" t="s">
        <v>1054</v>
      </c>
      <c r="C1118" s="182">
        <v>1964</v>
      </c>
      <c r="D1118" s="182"/>
      <c r="E1118" s="182"/>
      <c r="F1118" s="250">
        <v>426.2</v>
      </c>
      <c r="G1118" s="251">
        <v>382</v>
      </c>
      <c r="H1118" s="162">
        <f>I1118+J1118+K1118+L1118+M1118+N1118+O1118</f>
        <v>3255539.14</v>
      </c>
      <c r="I1118" s="182"/>
      <c r="J1118" s="182"/>
      <c r="K1118" s="162">
        <v>3045109.64</v>
      </c>
      <c r="L1118" s="182"/>
      <c r="M1118" s="182"/>
      <c r="N1118" s="182"/>
      <c r="O1118" s="252">
        <v>210429.5</v>
      </c>
      <c r="P1118" s="182"/>
      <c r="Q1118" s="235">
        <f>H1118</f>
        <v>3255539.14</v>
      </c>
      <c r="R1118" s="182"/>
      <c r="S1118" s="182"/>
      <c r="T1118" s="182">
        <v>2022</v>
      </c>
      <c r="U1118" s="182">
        <v>2023</v>
      </c>
      <c r="V1118" s="156"/>
    </row>
    <row r="1119" spans="1:22" ht="15.75">
      <c r="A1119" s="182">
        <f>A1118+1</f>
        <v>385</v>
      </c>
      <c r="B1119" s="249" t="s">
        <v>1055</v>
      </c>
      <c r="C1119" s="182">
        <v>1964</v>
      </c>
      <c r="D1119" s="182"/>
      <c r="E1119" s="182"/>
      <c r="F1119" s="250">
        <v>429.9</v>
      </c>
      <c r="G1119" s="251">
        <v>384</v>
      </c>
      <c r="H1119" s="162">
        <f>I1119+J1119+K1119+L1119+M1119+N1119+O1119</f>
        <v>3272583.84</v>
      </c>
      <c r="I1119" s="182"/>
      <c r="J1119" s="182"/>
      <c r="K1119" s="162">
        <v>3061052.62</v>
      </c>
      <c r="L1119" s="182"/>
      <c r="M1119" s="182"/>
      <c r="N1119" s="182"/>
      <c r="O1119" s="252">
        <v>211531.22</v>
      </c>
      <c r="P1119" s="182"/>
      <c r="Q1119" s="235">
        <f>H1119</f>
        <v>3272583.84</v>
      </c>
      <c r="R1119" s="182"/>
      <c r="S1119" s="182"/>
      <c r="T1119" s="182">
        <v>2022</v>
      </c>
      <c r="U1119" s="182">
        <v>2023</v>
      </c>
      <c r="V1119" s="156"/>
    </row>
    <row r="1120" spans="1:22" ht="15.75">
      <c r="A1120" s="182">
        <f>A1119+1</f>
        <v>386</v>
      </c>
      <c r="B1120" s="186" t="s">
        <v>764</v>
      </c>
      <c r="C1120" s="190">
        <v>1950</v>
      </c>
      <c r="D1120" s="182"/>
      <c r="E1120" s="182"/>
      <c r="F1120" s="253">
        <v>1036.2</v>
      </c>
      <c r="G1120" s="184">
        <v>955.4</v>
      </c>
      <c r="H1120" s="1">
        <f>I1120+J1120+K1120+L1120+M1120+N1120+O1120</f>
        <v>8569816.5600000005</v>
      </c>
      <c r="I1120" s="1">
        <v>0</v>
      </c>
      <c r="J1120" s="1">
        <v>0</v>
      </c>
      <c r="K1120" s="1">
        <f>ROUND(G1120*8645.31*1.015,2)</f>
        <v>8383625.1100000003</v>
      </c>
      <c r="L1120" s="1">
        <v>0</v>
      </c>
      <c r="M1120" s="1">
        <v>0</v>
      </c>
      <c r="N1120" s="1">
        <v>0</v>
      </c>
      <c r="O1120" s="1">
        <v>186191.45</v>
      </c>
      <c r="P1120" s="1">
        <v>0</v>
      </c>
      <c r="Q1120" s="1">
        <v>0</v>
      </c>
      <c r="R1120" s="1">
        <v>0</v>
      </c>
      <c r="S1120" s="13">
        <f>H1120</f>
        <v>8569816.5600000005</v>
      </c>
      <c r="T1120" s="182">
        <v>2022</v>
      </c>
      <c r="U1120" s="182">
        <v>2022</v>
      </c>
    </row>
    <row r="1121" spans="1:21" ht="15.75">
      <c r="A1121" s="287" t="s">
        <v>606</v>
      </c>
      <c r="B1121" s="287"/>
      <c r="C1121" s="190"/>
      <c r="D1121" s="182"/>
      <c r="E1121" s="182"/>
      <c r="F1121" s="15">
        <f>SUM(F1118:F1120)</f>
        <v>1892.3</v>
      </c>
      <c r="G1121" s="15">
        <f t="shared" ref="G1121:S1121" si="211">SUM(G1118:G1120)</f>
        <v>1721.4</v>
      </c>
      <c r="H1121" s="15">
        <f t="shared" si="211"/>
        <v>15097939.539999999</v>
      </c>
      <c r="I1121" s="15">
        <f t="shared" si="211"/>
        <v>0</v>
      </c>
      <c r="J1121" s="15">
        <f t="shared" si="211"/>
        <v>0</v>
      </c>
      <c r="K1121" s="15">
        <f t="shared" si="211"/>
        <v>14489787.369999999</v>
      </c>
      <c r="L1121" s="15">
        <f t="shared" si="211"/>
        <v>0</v>
      </c>
      <c r="M1121" s="15">
        <f t="shared" si="211"/>
        <v>0</v>
      </c>
      <c r="N1121" s="15">
        <f t="shared" si="211"/>
        <v>0</v>
      </c>
      <c r="O1121" s="15">
        <f t="shared" si="211"/>
        <v>608152.17000000004</v>
      </c>
      <c r="P1121" s="15">
        <f t="shared" si="211"/>
        <v>0</v>
      </c>
      <c r="Q1121" s="15">
        <f t="shared" si="211"/>
        <v>6528122.9800000004</v>
      </c>
      <c r="R1121" s="15">
        <f t="shared" si="211"/>
        <v>0</v>
      </c>
      <c r="S1121" s="15">
        <f t="shared" si="211"/>
        <v>8569816.5600000005</v>
      </c>
      <c r="T1121" s="16" t="s">
        <v>31</v>
      </c>
      <c r="U1121" s="16" t="s">
        <v>31</v>
      </c>
    </row>
    <row r="1122" spans="1:21" ht="15.75">
      <c r="A1122" s="291" t="s">
        <v>610</v>
      </c>
      <c r="B1122" s="291"/>
      <c r="C1122" s="291"/>
      <c r="D1122" s="291"/>
      <c r="E1122" s="291"/>
      <c r="F1122" s="291"/>
      <c r="G1122" s="291"/>
      <c r="H1122" s="291"/>
      <c r="I1122" s="291"/>
      <c r="J1122" s="291"/>
      <c r="K1122" s="291"/>
      <c r="L1122" s="291"/>
      <c r="M1122" s="291"/>
      <c r="N1122" s="291"/>
      <c r="O1122" s="291"/>
      <c r="P1122" s="291"/>
      <c r="Q1122" s="291"/>
      <c r="R1122" s="291"/>
      <c r="S1122" s="291"/>
      <c r="T1122" s="291"/>
      <c r="U1122" s="291"/>
    </row>
    <row r="1123" spans="1:21" ht="15.75">
      <c r="A1123" s="182">
        <f>A1120+1</f>
        <v>387</v>
      </c>
      <c r="B1123" s="202" t="s">
        <v>765</v>
      </c>
      <c r="C1123" s="190">
        <v>1980</v>
      </c>
      <c r="D1123" s="182"/>
      <c r="E1123" s="182"/>
      <c r="F1123" s="184">
        <v>4708.3</v>
      </c>
      <c r="G1123" s="184">
        <v>4166.8999999999996</v>
      </c>
      <c r="H1123" s="1">
        <f t="shared" ref="H1123:H1125" si="212">I1123+J1123+K1123+L1123+M1123+N1123+O1123</f>
        <v>5711080.2999999998</v>
      </c>
      <c r="I1123" s="1">
        <v>0</v>
      </c>
      <c r="J1123" s="1">
        <f>ROUND(2743006.55*2*1.015,2)</f>
        <v>5568303.2999999998</v>
      </c>
      <c r="K1123" s="1">
        <v>0</v>
      </c>
      <c r="L1123" s="1">
        <v>0</v>
      </c>
      <c r="M1123" s="1">
        <v>0</v>
      </c>
      <c r="N1123" s="1">
        <v>0</v>
      </c>
      <c r="O1123" s="236">
        <f>71388.5*2</f>
        <v>142777</v>
      </c>
      <c r="P1123" s="1">
        <v>0</v>
      </c>
      <c r="Q1123" s="1">
        <v>0</v>
      </c>
      <c r="R1123" s="1">
        <v>0</v>
      </c>
      <c r="S1123" s="13">
        <f>H1123</f>
        <v>5711080.2999999998</v>
      </c>
      <c r="T1123" s="182">
        <v>2022</v>
      </c>
      <c r="U1123" s="182">
        <v>2022</v>
      </c>
    </row>
    <row r="1124" spans="1:21" ht="15.75">
      <c r="A1124" s="182">
        <f>A1123+1</f>
        <v>388</v>
      </c>
      <c r="B1124" s="186" t="s">
        <v>766</v>
      </c>
      <c r="C1124" s="190">
        <v>1961</v>
      </c>
      <c r="D1124" s="182"/>
      <c r="E1124" s="182"/>
      <c r="F1124" s="184">
        <v>826.9</v>
      </c>
      <c r="G1124" s="184">
        <v>780.6</v>
      </c>
      <c r="H1124" s="1">
        <f t="shared" si="212"/>
        <v>7941732.6100000003</v>
      </c>
      <c r="I1124" s="1">
        <v>0</v>
      </c>
      <c r="J1124" s="1">
        <v>0</v>
      </c>
      <c r="K1124" s="1">
        <f>ROUND(G1124*9812.79*1.015,2)</f>
        <v>7774761.8300000001</v>
      </c>
      <c r="L1124" s="1">
        <v>0</v>
      </c>
      <c r="M1124" s="1">
        <v>0</v>
      </c>
      <c r="N1124" s="1">
        <v>0</v>
      </c>
      <c r="O1124" s="236">
        <v>166970.78</v>
      </c>
      <c r="P1124" s="1">
        <v>0</v>
      </c>
      <c r="Q1124" s="1">
        <v>0</v>
      </c>
      <c r="R1124" s="1">
        <v>0</v>
      </c>
      <c r="S1124" s="13">
        <f>H1124</f>
        <v>7941732.6100000003</v>
      </c>
      <c r="T1124" s="182">
        <v>2022</v>
      </c>
      <c r="U1124" s="182">
        <v>2022</v>
      </c>
    </row>
    <row r="1125" spans="1:21" ht="15.75">
      <c r="A1125" s="182">
        <f>A1124+1</f>
        <v>389</v>
      </c>
      <c r="B1125" s="254" t="s">
        <v>613</v>
      </c>
      <c r="C1125" s="183">
        <v>1968</v>
      </c>
      <c r="D1125" s="182"/>
      <c r="E1125" s="182"/>
      <c r="F1125" s="184">
        <v>4420.8</v>
      </c>
      <c r="G1125" s="184">
        <v>4052.4</v>
      </c>
      <c r="H1125" s="1">
        <f t="shared" si="212"/>
        <v>15681035.58</v>
      </c>
      <c r="I1125" s="1">
        <v>0</v>
      </c>
      <c r="J1125" s="1">
        <v>0</v>
      </c>
      <c r="K1125" s="1">
        <f>G1125*3727.29*1.015</f>
        <v>15331037.050000001</v>
      </c>
      <c r="L1125" s="1">
        <v>0</v>
      </c>
      <c r="M1125" s="1">
        <v>0</v>
      </c>
      <c r="N1125" s="1">
        <v>0</v>
      </c>
      <c r="O1125" s="236">
        <v>349998.53</v>
      </c>
      <c r="P1125" s="1">
        <v>0</v>
      </c>
      <c r="Q1125" s="1">
        <v>0</v>
      </c>
      <c r="R1125" s="1">
        <v>0</v>
      </c>
      <c r="S1125" s="13">
        <f>H1125</f>
        <v>15681035.58</v>
      </c>
      <c r="T1125" s="182">
        <v>2021</v>
      </c>
      <c r="U1125" s="182">
        <v>2022</v>
      </c>
    </row>
    <row r="1126" spans="1:21" ht="15.75">
      <c r="A1126" s="287" t="s">
        <v>606</v>
      </c>
      <c r="B1126" s="287"/>
      <c r="C1126" s="227"/>
      <c r="D1126" s="179"/>
      <c r="E1126" s="179"/>
      <c r="F1126" s="14">
        <f t="shared" ref="F1126:S1126" si="213">SUM(F1123:F1125)</f>
        <v>9956</v>
      </c>
      <c r="G1126" s="14">
        <f t="shared" si="213"/>
        <v>8999.9</v>
      </c>
      <c r="H1126" s="27">
        <f t="shared" si="213"/>
        <v>29333848.489999998</v>
      </c>
      <c r="I1126" s="15">
        <f t="shared" si="213"/>
        <v>0</v>
      </c>
      <c r="J1126" s="27">
        <f t="shared" si="213"/>
        <v>5568303.2999999998</v>
      </c>
      <c r="K1126" s="27">
        <f t="shared" si="213"/>
        <v>23105798.879999999</v>
      </c>
      <c r="L1126" s="15">
        <f t="shared" si="213"/>
        <v>0</v>
      </c>
      <c r="M1126" s="15">
        <f t="shared" si="213"/>
        <v>0</v>
      </c>
      <c r="N1126" s="15">
        <f t="shared" si="213"/>
        <v>0</v>
      </c>
      <c r="O1126" s="27">
        <f t="shared" si="213"/>
        <v>659746.31000000006</v>
      </c>
      <c r="P1126" s="15">
        <f t="shared" si="213"/>
        <v>0</v>
      </c>
      <c r="Q1126" s="15">
        <f t="shared" si="213"/>
        <v>0</v>
      </c>
      <c r="R1126" s="15">
        <f t="shared" si="213"/>
        <v>0</v>
      </c>
      <c r="S1126" s="27">
        <f t="shared" si="213"/>
        <v>29333848.489999998</v>
      </c>
      <c r="T1126" s="16" t="s">
        <v>31</v>
      </c>
      <c r="U1126" s="16" t="s">
        <v>31</v>
      </c>
    </row>
    <row r="1127" spans="1:21" ht="15.75">
      <c r="A1127" s="291" t="s">
        <v>804</v>
      </c>
      <c r="B1127" s="291"/>
      <c r="C1127" s="291"/>
      <c r="D1127" s="291"/>
      <c r="E1127" s="291"/>
      <c r="F1127" s="291"/>
      <c r="G1127" s="291"/>
      <c r="H1127" s="291"/>
      <c r="I1127" s="291"/>
      <c r="J1127" s="291"/>
      <c r="K1127" s="291"/>
      <c r="L1127" s="291"/>
      <c r="M1127" s="291"/>
      <c r="N1127" s="291"/>
      <c r="O1127" s="291"/>
      <c r="P1127" s="291"/>
      <c r="Q1127" s="291"/>
      <c r="R1127" s="291"/>
      <c r="S1127" s="291"/>
      <c r="T1127" s="291"/>
      <c r="U1127" s="291"/>
    </row>
    <row r="1128" spans="1:21" ht="15.75">
      <c r="A1128" s="176">
        <f>A1125+1</f>
        <v>390</v>
      </c>
      <c r="B1128" s="255" t="s">
        <v>767</v>
      </c>
      <c r="C1128" s="190">
        <v>1978</v>
      </c>
      <c r="D1128" s="182"/>
      <c r="E1128" s="182"/>
      <c r="F1128" s="184">
        <v>1581.5</v>
      </c>
      <c r="G1128" s="184">
        <v>1367.3</v>
      </c>
      <c r="H1128" s="1">
        <f>I1128+J1128+K1128+L1128+M1128+N1128+O1128</f>
        <v>2166326.6800000002</v>
      </c>
      <c r="I1128" s="1">
        <f>ROUND((620.83+660.21)*G1128*1.015,2)</f>
        <v>1777839.48</v>
      </c>
      <c r="J1128" s="1">
        <v>0</v>
      </c>
      <c r="K1128" s="1">
        <v>0</v>
      </c>
      <c r="L1128" s="1">
        <v>0</v>
      </c>
      <c r="M1128" s="1">
        <v>0</v>
      </c>
      <c r="N1128" s="1">
        <v>0</v>
      </c>
      <c r="O1128" s="1">
        <v>388487.2</v>
      </c>
      <c r="P1128" s="1">
        <v>0</v>
      </c>
      <c r="Q1128" s="1">
        <v>0</v>
      </c>
      <c r="R1128" s="1">
        <v>0</v>
      </c>
      <c r="S1128" s="13">
        <f>H1128</f>
        <v>2166326.6800000002</v>
      </c>
      <c r="T1128" s="182">
        <v>2022</v>
      </c>
      <c r="U1128" s="182">
        <v>2022</v>
      </c>
    </row>
    <row r="1129" spans="1:21" ht="15.75">
      <c r="A1129" s="176">
        <f>A1128+1</f>
        <v>391</v>
      </c>
      <c r="B1129" s="255" t="s">
        <v>768</v>
      </c>
      <c r="C1129" s="190">
        <v>1983</v>
      </c>
      <c r="D1129" s="182"/>
      <c r="E1129" s="182"/>
      <c r="F1129" s="184">
        <v>941.7</v>
      </c>
      <c r="G1129" s="184">
        <v>840.5</v>
      </c>
      <c r="H1129" s="1">
        <f>I1129+J1129+K1129+L1129+M1129+N1129+O1129</f>
        <v>1467419.69</v>
      </c>
      <c r="I1129" s="1">
        <f>ROUND((620.83+660.21)*G1129*1.015,2)</f>
        <v>1092864.83</v>
      </c>
      <c r="J1129" s="1">
        <v>0</v>
      </c>
      <c r="K1129" s="1">
        <v>0</v>
      </c>
      <c r="L1129" s="1">
        <v>0</v>
      </c>
      <c r="M1129" s="1">
        <v>0</v>
      </c>
      <c r="N1129" s="1">
        <v>0</v>
      </c>
      <c r="O1129" s="1">
        <v>374554.86</v>
      </c>
      <c r="P1129" s="1">
        <v>0</v>
      </c>
      <c r="Q1129" s="1">
        <v>0</v>
      </c>
      <c r="R1129" s="1">
        <v>0</v>
      </c>
      <c r="S1129" s="13">
        <f>H1129</f>
        <v>1467419.69</v>
      </c>
      <c r="T1129" s="182">
        <v>2022</v>
      </c>
      <c r="U1129" s="182">
        <v>2022</v>
      </c>
    </row>
    <row r="1130" spans="1:21" ht="15.75">
      <c r="A1130" s="176">
        <f>A1129+1</f>
        <v>392</v>
      </c>
      <c r="B1130" s="255" t="s">
        <v>769</v>
      </c>
      <c r="C1130" s="190">
        <v>1982</v>
      </c>
      <c r="D1130" s="182"/>
      <c r="E1130" s="182"/>
      <c r="F1130" s="184">
        <v>3226.2</v>
      </c>
      <c r="G1130" s="184">
        <v>2669.1</v>
      </c>
      <c r="H1130" s="1">
        <f>I1130+J1130+K1130+L1130+M1130+N1130+O1130</f>
        <v>3907002.33</v>
      </c>
      <c r="I1130" s="1">
        <f>ROUND((620.83+660.21)*G1130*1.015,2)</f>
        <v>3470512.22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436490.11</v>
      </c>
      <c r="P1130" s="1">
        <v>0</v>
      </c>
      <c r="Q1130" s="1">
        <v>0</v>
      </c>
      <c r="R1130" s="1">
        <v>0</v>
      </c>
      <c r="S1130" s="13">
        <f>H1130</f>
        <v>3907002.33</v>
      </c>
      <c r="T1130" s="182">
        <v>2022</v>
      </c>
      <c r="U1130" s="182">
        <v>2022</v>
      </c>
    </row>
    <row r="1131" spans="1:21" ht="15.75">
      <c r="A1131" s="287" t="s">
        <v>606</v>
      </c>
      <c r="B1131" s="287"/>
      <c r="C1131" s="227"/>
      <c r="D1131" s="179"/>
      <c r="E1131" s="179"/>
      <c r="F1131" s="14">
        <f>SUM(F1128:F1130)</f>
        <v>5749.4</v>
      </c>
      <c r="G1131" s="14">
        <f t="shared" ref="G1131:S1131" si="214">SUM(G1128:G1130)</f>
        <v>4876.8999999999996</v>
      </c>
      <c r="H1131" s="27">
        <f>SUM(H1128:H1130)</f>
        <v>7540748.7000000002</v>
      </c>
      <c r="I1131" s="27">
        <f t="shared" si="214"/>
        <v>6341216.5300000003</v>
      </c>
      <c r="J1131" s="15">
        <f t="shared" si="214"/>
        <v>0</v>
      </c>
      <c r="K1131" s="15">
        <f t="shared" si="214"/>
        <v>0</v>
      </c>
      <c r="L1131" s="15">
        <f t="shared" si="214"/>
        <v>0</v>
      </c>
      <c r="M1131" s="15">
        <f t="shared" si="214"/>
        <v>0</v>
      </c>
      <c r="N1131" s="15">
        <f t="shared" si="214"/>
        <v>0</v>
      </c>
      <c r="O1131" s="27">
        <f t="shared" si="214"/>
        <v>1199532.17</v>
      </c>
      <c r="P1131" s="15">
        <f t="shared" si="214"/>
        <v>0</v>
      </c>
      <c r="Q1131" s="15">
        <f t="shared" si="214"/>
        <v>0</v>
      </c>
      <c r="R1131" s="15">
        <f t="shared" si="214"/>
        <v>0</v>
      </c>
      <c r="S1131" s="27">
        <f t="shared" si="214"/>
        <v>7540748.7000000002</v>
      </c>
      <c r="T1131" s="16" t="s">
        <v>31</v>
      </c>
      <c r="U1131" s="16" t="s">
        <v>31</v>
      </c>
    </row>
    <row r="1132" spans="1:21" ht="15.75">
      <c r="A1132" s="291" t="s">
        <v>770</v>
      </c>
      <c r="B1132" s="291"/>
      <c r="C1132" s="291"/>
      <c r="D1132" s="291"/>
      <c r="E1132" s="291"/>
      <c r="F1132" s="291"/>
      <c r="G1132" s="291"/>
      <c r="H1132" s="291"/>
      <c r="I1132" s="291"/>
      <c r="J1132" s="291"/>
      <c r="K1132" s="291"/>
      <c r="L1132" s="291"/>
      <c r="M1132" s="291"/>
      <c r="N1132" s="291"/>
      <c r="O1132" s="291"/>
      <c r="P1132" s="291"/>
      <c r="Q1132" s="291"/>
      <c r="R1132" s="291"/>
      <c r="S1132" s="291"/>
      <c r="T1132" s="291"/>
      <c r="U1132" s="291"/>
    </row>
    <row r="1133" spans="1:21" ht="15.75">
      <c r="A1133" s="182">
        <f>A1130+1</f>
        <v>393</v>
      </c>
      <c r="B1133" s="256" t="s">
        <v>622</v>
      </c>
      <c r="C1133" s="190">
        <v>1988</v>
      </c>
      <c r="D1133" s="182"/>
      <c r="E1133" s="182"/>
      <c r="F1133" s="184">
        <v>4889.6000000000004</v>
      </c>
      <c r="G1133" s="184">
        <v>4176.1000000000004</v>
      </c>
      <c r="H1133" s="1">
        <f t="shared" ref="H1133:H1138" si="215">I1133+J1133+K1133+L1133+M1133+N1133+O1133</f>
        <v>1287257.44</v>
      </c>
      <c r="I1133" s="1">
        <f>ROUND(1197448.78*1.015,2)</f>
        <v>1215410.51</v>
      </c>
      <c r="J1133" s="1">
        <v>0</v>
      </c>
      <c r="K1133" s="1">
        <v>0</v>
      </c>
      <c r="L1133" s="1">
        <v>0</v>
      </c>
      <c r="M1133" s="1">
        <v>0</v>
      </c>
      <c r="N1133" s="1">
        <v>0</v>
      </c>
      <c r="O1133" s="1">
        <v>71846.929999999993</v>
      </c>
      <c r="P1133" s="1">
        <v>0</v>
      </c>
      <c r="Q1133" s="1">
        <v>0</v>
      </c>
      <c r="R1133" s="1">
        <v>0</v>
      </c>
      <c r="S1133" s="13">
        <f t="shared" ref="S1133:S1138" si="216">H1133</f>
        <v>1287257.44</v>
      </c>
      <c r="T1133" s="182">
        <v>2021</v>
      </c>
      <c r="U1133" s="182">
        <v>2022</v>
      </c>
    </row>
    <row r="1134" spans="1:21" ht="15.75">
      <c r="A1134" s="182">
        <f>A1133+1</f>
        <v>394</v>
      </c>
      <c r="B1134" s="256" t="s">
        <v>621</v>
      </c>
      <c r="C1134" s="190">
        <v>1978</v>
      </c>
      <c r="D1134" s="182"/>
      <c r="E1134" s="182"/>
      <c r="F1134" s="184">
        <v>5733.2</v>
      </c>
      <c r="G1134" s="184">
        <v>4859.7</v>
      </c>
      <c r="H1134" s="1">
        <f t="shared" si="215"/>
        <v>17841789.829999998</v>
      </c>
      <c r="I1134" s="1">
        <v>0</v>
      </c>
      <c r="J1134" s="1">
        <v>0</v>
      </c>
      <c r="K1134" s="1">
        <f>ROUND(17578118.06*1.015,2)</f>
        <v>17841789.829999998</v>
      </c>
      <c r="L1134" s="1">
        <v>0</v>
      </c>
      <c r="M1134" s="1">
        <v>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3">
        <f t="shared" si="216"/>
        <v>17841789.829999998</v>
      </c>
      <c r="T1134" s="182">
        <v>2021</v>
      </c>
      <c r="U1134" s="182">
        <v>2022</v>
      </c>
    </row>
    <row r="1135" spans="1:21" ht="15.75">
      <c r="A1135" s="182">
        <f>A1134+1</f>
        <v>395</v>
      </c>
      <c r="B1135" s="186" t="s">
        <v>771</v>
      </c>
      <c r="C1135" s="190">
        <v>1991</v>
      </c>
      <c r="D1135" s="182"/>
      <c r="E1135" s="182"/>
      <c r="F1135" s="220">
        <v>4588.3999999999996</v>
      </c>
      <c r="G1135" s="220">
        <v>3945.8</v>
      </c>
      <c r="H1135" s="1">
        <f t="shared" si="215"/>
        <v>6075603.3200000003</v>
      </c>
      <c r="I1135" s="1">
        <v>0</v>
      </c>
      <c r="J1135" s="1">
        <f>ROUND(2*3037801.66,2)-O1135</f>
        <v>5923713.2400000002</v>
      </c>
      <c r="K1135" s="1">
        <v>0</v>
      </c>
      <c r="L1135" s="1">
        <v>0</v>
      </c>
      <c r="M1135" s="1">
        <v>0</v>
      </c>
      <c r="N1135" s="1">
        <v>0</v>
      </c>
      <c r="O1135" s="257">
        <v>151890.07999999999</v>
      </c>
      <c r="P1135" s="1">
        <v>0</v>
      </c>
      <c r="Q1135" s="1">
        <v>0</v>
      </c>
      <c r="R1135" s="1">
        <v>0</v>
      </c>
      <c r="S1135" s="13">
        <f t="shared" si="216"/>
        <v>6075603.3200000003</v>
      </c>
      <c r="T1135" s="182">
        <v>2022</v>
      </c>
      <c r="U1135" s="182">
        <v>2022</v>
      </c>
    </row>
    <row r="1136" spans="1:21" ht="15.75">
      <c r="A1136" s="182">
        <f>A1135+1</f>
        <v>396</v>
      </c>
      <c r="B1136" s="186" t="s">
        <v>772</v>
      </c>
      <c r="C1136" s="190">
        <v>1954</v>
      </c>
      <c r="D1136" s="182"/>
      <c r="E1136" s="182"/>
      <c r="F1136" s="220">
        <v>684.9</v>
      </c>
      <c r="G1136" s="220">
        <v>531.5</v>
      </c>
      <c r="H1136" s="1">
        <f t="shared" si="215"/>
        <v>4804076.2300000004</v>
      </c>
      <c r="I1136" s="1">
        <v>0</v>
      </c>
      <c r="J1136" s="1">
        <v>0</v>
      </c>
      <c r="K1136" s="1">
        <v>4663907</v>
      </c>
      <c r="L1136" s="1">
        <v>0</v>
      </c>
      <c r="M1136" s="1">
        <v>0</v>
      </c>
      <c r="N1136" s="1">
        <v>0</v>
      </c>
      <c r="O1136" s="257">
        <v>140169.23000000001</v>
      </c>
      <c r="P1136" s="1">
        <v>0</v>
      </c>
      <c r="Q1136" s="1">
        <v>0</v>
      </c>
      <c r="R1136" s="1">
        <v>0</v>
      </c>
      <c r="S1136" s="13">
        <f t="shared" si="216"/>
        <v>4804076.2300000004</v>
      </c>
      <c r="T1136" s="182">
        <v>2022</v>
      </c>
      <c r="U1136" s="182">
        <v>2022</v>
      </c>
    </row>
    <row r="1137" spans="1:21" ht="15.75">
      <c r="A1137" s="182">
        <f>A1136+1</f>
        <v>397</v>
      </c>
      <c r="B1137" s="186" t="s">
        <v>773</v>
      </c>
      <c r="C1137" s="190">
        <v>1963</v>
      </c>
      <c r="D1137" s="182"/>
      <c r="E1137" s="182"/>
      <c r="F1137" s="220">
        <v>872.2</v>
      </c>
      <c r="G1137" s="220">
        <v>810.2</v>
      </c>
      <c r="H1137" s="1">
        <f t="shared" si="215"/>
        <v>7279027.5099999998</v>
      </c>
      <c r="I1137" s="1">
        <v>0</v>
      </c>
      <c r="J1137" s="1">
        <v>0</v>
      </c>
      <c r="K1137" s="1">
        <f>ROUND(G1137*8645.31*1.015,2)</f>
        <v>7109496.6100000003</v>
      </c>
      <c r="L1137" s="1">
        <v>0</v>
      </c>
      <c r="M1137" s="1">
        <v>0</v>
      </c>
      <c r="N1137" s="1">
        <v>0</v>
      </c>
      <c r="O1137" s="257">
        <v>169530.9</v>
      </c>
      <c r="P1137" s="1">
        <v>0</v>
      </c>
      <c r="Q1137" s="1">
        <v>0</v>
      </c>
      <c r="R1137" s="1">
        <v>0</v>
      </c>
      <c r="S1137" s="13">
        <f t="shared" si="216"/>
        <v>7279027.5099999998</v>
      </c>
      <c r="T1137" s="182">
        <v>2022</v>
      </c>
      <c r="U1137" s="182">
        <v>2022</v>
      </c>
    </row>
    <row r="1138" spans="1:21" ht="15.75">
      <c r="A1138" s="182">
        <f>A1137+1</f>
        <v>398</v>
      </c>
      <c r="B1138" s="186" t="s">
        <v>774</v>
      </c>
      <c r="C1138" s="190">
        <v>1947</v>
      </c>
      <c r="D1138" s="182"/>
      <c r="E1138" s="182"/>
      <c r="F1138" s="220">
        <v>550.1</v>
      </c>
      <c r="G1138" s="220">
        <v>509.5</v>
      </c>
      <c r="H1138" s="1">
        <f t="shared" si="215"/>
        <v>4735144.3600000003</v>
      </c>
      <c r="I1138" s="1">
        <v>0</v>
      </c>
      <c r="J1138" s="1">
        <v>0</v>
      </c>
      <c r="K1138" s="1">
        <f>ROUND(8645.31*G1138*1.015,2)</f>
        <v>4470857.2300000004</v>
      </c>
      <c r="L1138" s="1">
        <v>0</v>
      </c>
      <c r="M1138" s="1">
        <v>0</v>
      </c>
      <c r="N1138" s="1">
        <v>0</v>
      </c>
      <c r="O1138" s="257">
        <v>264287.13</v>
      </c>
      <c r="P1138" s="1">
        <v>0</v>
      </c>
      <c r="Q1138" s="1">
        <v>0</v>
      </c>
      <c r="R1138" s="1">
        <v>0</v>
      </c>
      <c r="S1138" s="13">
        <f t="shared" si="216"/>
        <v>4735144.3600000003</v>
      </c>
      <c r="T1138" s="182">
        <v>2022</v>
      </c>
      <c r="U1138" s="182">
        <v>2022</v>
      </c>
    </row>
    <row r="1139" spans="1:21" ht="15.75">
      <c r="A1139" s="290" t="s">
        <v>606</v>
      </c>
      <c r="B1139" s="290"/>
      <c r="C1139" s="83"/>
      <c r="D1139" s="116"/>
      <c r="E1139" s="116"/>
      <c r="F1139" s="14">
        <f t="shared" ref="F1139:S1139" si="217">SUM(F1133:F1138)</f>
        <v>17318.400000000001</v>
      </c>
      <c r="G1139" s="14">
        <f t="shared" si="217"/>
        <v>14832.8</v>
      </c>
      <c r="H1139" s="27">
        <f t="shared" si="217"/>
        <v>42022898.689999998</v>
      </c>
      <c r="I1139" s="27">
        <f t="shared" si="217"/>
        <v>1215410.51</v>
      </c>
      <c r="J1139" s="27">
        <f t="shared" si="217"/>
        <v>5923713.2400000002</v>
      </c>
      <c r="K1139" s="27">
        <f t="shared" si="217"/>
        <v>34086050.670000002</v>
      </c>
      <c r="L1139" s="15">
        <f t="shared" si="217"/>
        <v>0</v>
      </c>
      <c r="M1139" s="15">
        <f t="shared" si="217"/>
        <v>0</v>
      </c>
      <c r="N1139" s="15">
        <f t="shared" si="217"/>
        <v>0</v>
      </c>
      <c r="O1139" s="27">
        <f t="shared" si="217"/>
        <v>797724.27</v>
      </c>
      <c r="P1139" s="15">
        <f t="shared" si="217"/>
        <v>0</v>
      </c>
      <c r="Q1139" s="15">
        <f t="shared" si="217"/>
        <v>0</v>
      </c>
      <c r="R1139" s="15">
        <f t="shared" si="217"/>
        <v>0</v>
      </c>
      <c r="S1139" s="27">
        <f t="shared" si="217"/>
        <v>42022898.689999998</v>
      </c>
      <c r="T1139" s="16" t="s">
        <v>31</v>
      </c>
      <c r="U1139" s="16" t="s">
        <v>31</v>
      </c>
    </row>
    <row r="1140" spans="1:21" ht="15.75">
      <c r="A1140" s="298" t="s">
        <v>604</v>
      </c>
      <c r="B1140" s="299"/>
      <c r="C1140" s="299"/>
      <c r="D1140" s="299"/>
      <c r="E1140" s="299"/>
      <c r="F1140" s="299"/>
      <c r="G1140" s="299"/>
      <c r="H1140" s="299"/>
      <c r="I1140" s="299"/>
      <c r="J1140" s="299"/>
      <c r="K1140" s="299"/>
      <c r="L1140" s="299"/>
      <c r="M1140" s="299"/>
      <c r="N1140" s="299"/>
      <c r="O1140" s="299"/>
      <c r="P1140" s="299"/>
      <c r="Q1140" s="299"/>
      <c r="R1140" s="299"/>
      <c r="S1140" s="299"/>
      <c r="T1140" s="299"/>
      <c r="U1140" s="300"/>
    </row>
    <row r="1141" spans="1:21" ht="15.75">
      <c r="A1141" s="79">
        <f>A1138+1</f>
        <v>399</v>
      </c>
      <c r="B1141" s="186" t="s">
        <v>605</v>
      </c>
      <c r="C1141" s="81">
        <v>1968</v>
      </c>
      <c r="D1141" s="79"/>
      <c r="E1141" s="79"/>
      <c r="F1141" s="33">
        <v>5277.6</v>
      </c>
      <c r="G1141" s="33">
        <v>4876.8</v>
      </c>
      <c r="H1141" s="1">
        <f>I1141+J1141+K1141+L1141+M1141+N1141+O1141</f>
        <v>19539691.640000001</v>
      </c>
      <c r="I1141" s="1">
        <v>0</v>
      </c>
      <c r="J1141" s="1">
        <v>0</v>
      </c>
      <c r="K1141" s="1">
        <f>ROUND(3727.29*G1141*1.015,2)</f>
        <v>18449906.59</v>
      </c>
      <c r="L1141" s="1">
        <v>0</v>
      </c>
      <c r="M1141" s="1">
        <v>0</v>
      </c>
      <c r="N1141" s="1">
        <v>0</v>
      </c>
      <c r="O1141" s="1">
        <v>1089785.05</v>
      </c>
      <c r="P1141" s="1">
        <v>0</v>
      </c>
      <c r="Q1141" s="1">
        <v>0</v>
      </c>
      <c r="R1141" s="1">
        <v>0</v>
      </c>
      <c r="S1141" s="1">
        <f>H1141</f>
        <v>19539691.640000001</v>
      </c>
      <c r="T1141" s="25">
        <v>2021</v>
      </c>
      <c r="U1141" s="25">
        <v>2022</v>
      </c>
    </row>
    <row r="1142" spans="1:21" ht="15.75">
      <c r="A1142" s="301" t="s">
        <v>606</v>
      </c>
      <c r="B1142" s="303"/>
      <c r="C1142" s="83"/>
      <c r="D1142" s="116"/>
      <c r="E1142" s="116"/>
      <c r="F1142" s="14">
        <f>F1141</f>
        <v>5277.6</v>
      </c>
      <c r="G1142" s="14">
        <f>G1141</f>
        <v>4876.8</v>
      </c>
      <c r="H1142" s="27">
        <f>H1141</f>
        <v>19539691.640000001</v>
      </c>
      <c r="I1142" s="15">
        <f>I1141</f>
        <v>0</v>
      </c>
      <c r="J1142" s="15">
        <f t="shared" ref="J1142:S1142" si="218">J1141</f>
        <v>0</v>
      </c>
      <c r="K1142" s="27">
        <f t="shared" si="218"/>
        <v>18449906.59</v>
      </c>
      <c r="L1142" s="15">
        <f t="shared" si="218"/>
        <v>0</v>
      </c>
      <c r="M1142" s="15">
        <f t="shared" si="218"/>
        <v>0</v>
      </c>
      <c r="N1142" s="15">
        <f t="shared" si="218"/>
        <v>0</v>
      </c>
      <c r="O1142" s="27">
        <f t="shared" si="218"/>
        <v>1089785.05</v>
      </c>
      <c r="P1142" s="15">
        <f t="shared" si="218"/>
        <v>0</v>
      </c>
      <c r="Q1142" s="15">
        <f t="shared" si="218"/>
        <v>0</v>
      </c>
      <c r="R1142" s="15">
        <f t="shared" si="218"/>
        <v>0</v>
      </c>
      <c r="S1142" s="27">
        <f t="shared" si="218"/>
        <v>19539691.640000001</v>
      </c>
      <c r="T1142" s="16"/>
      <c r="U1142" s="16"/>
    </row>
    <row r="1143" spans="1:21" ht="15.75">
      <c r="A1143" s="289" t="s">
        <v>808</v>
      </c>
      <c r="B1143" s="289"/>
      <c r="C1143" s="289"/>
      <c r="D1143" s="289"/>
      <c r="E1143" s="289"/>
      <c r="F1143" s="289"/>
      <c r="G1143" s="289"/>
      <c r="H1143" s="289"/>
      <c r="I1143" s="289"/>
      <c r="J1143" s="289"/>
      <c r="K1143" s="289"/>
      <c r="L1143" s="289"/>
      <c r="M1143" s="289"/>
      <c r="N1143" s="289"/>
      <c r="O1143" s="289"/>
      <c r="P1143" s="289"/>
      <c r="Q1143" s="289"/>
      <c r="R1143" s="289"/>
      <c r="S1143" s="289"/>
      <c r="T1143" s="289"/>
      <c r="U1143" s="289"/>
    </row>
    <row r="1144" spans="1:21" ht="15.75">
      <c r="A1144" s="79">
        <f>A1141+1</f>
        <v>400</v>
      </c>
      <c r="B1144" s="254" t="s">
        <v>607</v>
      </c>
      <c r="C1144" s="105">
        <v>1980</v>
      </c>
      <c r="D1144" s="79"/>
      <c r="E1144" s="79"/>
      <c r="F1144" s="90">
        <v>1188</v>
      </c>
      <c r="G1144" s="90">
        <v>1047.3</v>
      </c>
      <c r="H1144" s="1">
        <f>I1144+J1144+K1144+L1144+M1144+N1144+O1144</f>
        <v>8342716.3799999999</v>
      </c>
      <c r="I1144" s="1">
        <v>0</v>
      </c>
      <c r="J1144" s="1">
        <v>0</v>
      </c>
      <c r="K1144" s="1">
        <f>ROUND(G1144*7605.61925*1.015,2)</f>
        <v>8084845.5199999996</v>
      </c>
      <c r="L1144" s="1">
        <v>0</v>
      </c>
      <c r="M1144" s="1">
        <v>0</v>
      </c>
      <c r="N1144" s="1">
        <v>0</v>
      </c>
      <c r="O1144" s="1">
        <v>257870.86</v>
      </c>
      <c r="P1144" s="1">
        <v>0</v>
      </c>
      <c r="Q1144" s="1">
        <v>0</v>
      </c>
      <c r="R1144" s="1">
        <v>0</v>
      </c>
      <c r="S1144" s="13">
        <f>H1144</f>
        <v>8342716.3799999999</v>
      </c>
      <c r="T1144" s="79">
        <v>2021</v>
      </c>
      <c r="U1144" s="79">
        <v>2022</v>
      </c>
    </row>
    <row r="1145" spans="1:21" ht="15.75">
      <c r="A1145" s="301" t="s">
        <v>606</v>
      </c>
      <c r="B1145" s="303"/>
      <c r="C1145" s="164"/>
      <c r="D1145" s="116"/>
      <c r="E1145" s="116"/>
      <c r="F1145" s="14">
        <f>F1144</f>
        <v>1188</v>
      </c>
      <c r="G1145" s="14">
        <f>G1144</f>
        <v>1047.3</v>
      </c>
      <c r="H1145" s="27">
        <f>H1144</f>
        <v>8342716.3799999999</v>
      </c>
      <c r="I1145" s="15">
        <f>I1144</f>
        <v>0</v>
      </c>
      <c r="J1145" s="15">
        <f t="shared" ref="J1145:S1145" si="219">J1144</f>
        <v>0</v>
      </c>
      <c r="K1145" s="27">
        <f t="shared" si="219"/>
        <v>8084845.5199999996</v>
      </c>
      <c r="L1145" s="15">
        <f t="shared" si="219"/>
        <v>0</v>
      </c>
      <c r="M1145" s="15">
        <f t="shared" si="219"/>
        <v>0</v>
      </c>
      <c r="N1145" s="15">
        <f t="shared" si="219"/>
        <v>0</v>
      </c>
      <c r="O1145" s="27">
        <f t="shared" si="219"/>
        <v>257870.86</v>
      </c>
      <c r="P1145" s="15">
        <f t="shared" si="219"/>
        <v>0</v>
      </c>
      <c r="Q1145" s="15">
        <f t="shared" si="219"/>
        <v>0</v>
      </c>
      <c r="R1145" s="15">
        <f t="shared" si="219"/>
        <v>0</v>
      </c>
      <c r="S1145" s="27">
        <f t="shared" si="219"/>
        <v>8342716.3799999999</v>
      </c>
      <c r="T1145" s="16" t="s">
        <v>31</v>
      </c>
      <c r="U1145" s="16" t="s">
        <v>31</v>
      </c>
    </row>
    <row r="1146" spans="1:21" ht="15.75">
      <c r="A1146" s="301" t="s">
        <v>1087</v>
      </c>
      <c r="B1146" s="302"/>
      <c r="C1146" s="303"/>
      <c r="D1146" s="116"/>
      <c r="E1146" s="116"/>
      <c r="F1146" s="14">
        <f>F1145+F1139+F1131+F1126+F1121+F1116</f>
        <v>45701</v>
      </c>
      <c r="G1146" s="14">
        <f>G1145+G1139+G1131+G1126+G1121+G1116</f>
        <v>40395.199999999997</v>
      </c>
      <c r="H1146" s="27">
        <f>H1139+H1131+H1126+H1121+H1116+H1145+H1142</f>
        <v>147099728.06</v>
      </c>
      <c r="I1146" s="15">
        <f>I1139+I1131+I1126+I1121+I1116+I1145+I1142</f>
        <v>7556627.04</v>
      </c>
      <c r="J1146" s="15">
        <f>J1139+J1131+J1126+J1121+J1145+J1142+J1116</f>
        <v>11492016.539999999</v>
      </c>
      <c r="K1146" s="27">
        <f>K1139+K1142+K1131+K1126+K1121+K1145+K1116</f>
        <v>119363963.84</v>
      </c>
      <c r="L1146" s="15">
        <f>L1139+L1131+L1126+L1121+L1116+L1145+L1142</f>
        <v>0</v>
      </c>
      <c r="M1146" s="27">
        <f>M1139+M1131+M1126+M1121+M1116+M1145+M1142</f>
        <v>0</v>
      </c>
      <c r="N1146" s="15">
        <f>N1139+N1131+N1126+N1121+N1116+N1145</f>
        <v>0</v>
      </c>
      <c r="O1146" s="27">
        <f>O1145+O1142+O1139+O1131+O1126+O1121+O1116</f>
        <v>8687120.6400000006</v>
      </c>
      <c r="P1146" s="15">
        <f>P1139+P1131+P1126+P1121+P1116+P1145+P1142</f>
        <v>0</v>
      </c>
      <c r="Q1146" s="27">
        <f>Q1139+Q1131+Q1126+Q1121+Q1116+Q1145+Q1142</f>
        <v>30916353.920000002</v>
      </c>
      <c r="R1146" s="15">
        <f>R1139+R1131+R1126+R1121+R1116+R1145+R1142</f>
        <v>0</v>
      </c>
      <c r="S1146" s="27">
        <f>S1116+S1121+S1126+S1131+S1139+S1142+S1145</f>
        <v>116183374.14</v>
      </c>
      <c r="T1146" s="16" t="s">
        <v>31</v>
      </c>
      <c r="U1146" s="16" t="s">
        <v>31</v>
      </c>
    </row>
    <row r="1147" spans="1:21" ht="15.75" customHeight="1">
      <c r="A1147" s="289" t="s">
        <v>1059</v>
      </c>
      <c r="B1147" s="289"/>
      <c r="C1147" s="289"/>
      <c r="D1147" s="289"/>
      <c r="E1147" s="289"/>
      <c r="F1147" s="289"/>
      <c r="G1147" s="289"/>
      <c r="H1147" s="289"/>
      <c r="I1147" s="289"/>
      <c r="J1147" s="289"/>
      <c r="K1147" s="289"/>
      <c r="L1147" s="289"/>
      <c r="M1147" s="289"/>
      <c r="N1147" s="289"/>
      <c r="O1147" s="289"/>
      <c r="P1147" s="289"/>
      <c r="Q1147" s="289"/>
      <c r="R1147" s="289"/>
      <c r="S1147" s="289"/>
      <c r="T1147" s="289"/>
      <c r="U1147" s="289"/>
    </row>
    <row r="1148" spans="1:21" ht="15.75">
      <c r="A1148" s="289" t="s">
        <v>810</v>
      </c>
      <c r="B1148" s="289"/>
      <c r="C1148" s="289"/>
      <c r="D1148" s="289"/>
      <c r="E1148" s="289"/>
      <c r="F1148" s="289"/>
      <c r="G1148" s="289"/>
      <c r="H1148" s="289"/>
      <c r="I1148" s="289"/>
      <c r="J1148" s="289"/>
      <c r="K1148" s="289"/>
      <c r="L1148" s="289"/>
      <c r="M1148" s="289"/>
      <c r="N1148" s="289"/>
      <c r="O1148" s="289"/>
      <c r="P1148" s="289"/>
      <c r="Q1148" s="289"/>
      <c r="R1148" s="289"/>
      <c r="S1148" s="289"/>
      <c r="T1148" s="289"/>
      <c r="U1148" s="289"/>
    </row>
    <row r="1149" spans="1:21" ht="15.75">
      <c r="A1149" s="79">
        <f>A1144+1</f>
        <v>401</v>
      </c>
      <c r="B1149" s="255" t="s">
        <v>775</v>
      </c>
      <c r="C1149" s="81">
        <v>1992</v>
      </c>
      <c r="D1149" s="79"/>
      <c r="E1149" s="79"/>
      <c r="F1149" s="13">
        <v>1496.9</v>
      </c>
      <c r="G1149" s="33">
        <v>1380.4</v>
      </c>
      <c r="H1149" s="1">
        <f>I1149+J1149+K1149+L1149+M1149+N1149+O1149</f>
        <v>8866971.4399999995</v>
      </c>
      <c r="I1149" s="1">
        <v>0</v>
      </c>
      <c r="J1149" s="1">
        <v>0</v>
      </c>
      <c r="K1149" s="1">
        <f>ROUND(G1149*5975.33*1.015,2)</f>
        <v>8372070.71</v>
      </c>
      <c r="L1149" s="1">
        <v>0</v>
      </c>
      <c r="M1149" s="1">
        <v>0</v>
      </c>
      <c r="N1149" s="1">
        <v>0</v>
      </c>
      <c r="O1149" s="1">
        <v>494900.73</v>
      </c>
      <c r="P1149" s="1">
        <v>0</v>
      </c>
      <c r="Q1149" s="1">
        <v>0</v>
      </c>
      <c r="R1149" s="1">
        <v>0</v>
      </c>
      <c r="S1149" s="1">
        <f>H1149</f>
        <v>8866971.4399999995</v>
      </c>
      <c r="T1149" s="79">
        <v>2022</v>
      </c>
      <c r="U1149" s="79">
        <v>2022</v>
      </c>
    </row>
    <row r="1150" spans="1:21" ht="15.75">
      <c r="A1150" s="79">
        <f>A1149+1</f>
        <v>402</v>
      </c>
      <c r="B1150" s="255" t="s">
        <v>776</v>
      </c>
      <c r="C1150" s="81">
        <v>1963</v>
      </c>
      <c r="D1150" s="79"/>
      <c r="E1150" s="79"/>
      <c r="F1150" s="13">
        <v>1384.4</v>
      </c>
      <c r="G1150" s="33">
        <v>1244.5999999999999</v>
      </c>
      <c r="H1150" s="1">
        <f>I1150+J1150+K1150+L1150+M1150+N1150+O1150</f>
        <v>10333133.01</v>
      </c>
      <c r="I1150" s="1">
        <v>0</v>
      </c>
      <c r="J1150" s="1">
        <v>0</v>
      </c>
      <c r="K1150" s="1">
        <f>ROUND(7807.38*G1150*1.015,2)</f>
        <v>9862821.1300000008</v>
      </c>
      <c r="L1150" s="1">
        <v>0</v>
      </c>
      <c r="M1150" s="1">
        <v>0</v>
      </c>
      <c r="N1150" s="1">
        <v>0</v>
      </c>
      <c r="O1150" s="1">
        <v>470311.88</v>
      </c>
      <c r="P1150" s="1">
        <v>0</v>
      </c>
      <c r="Q1150" s="1">
        <v>0</v>
      </c>
      <c r="R1150" s="1">
        <v>0</v>
      </c>
      <c r="S1150" s="1">
        <f>H1150</f>
        <v>10333133.01</v>
      </c>
      <c r="T1150" s="79">
        <v>2022</v>
      </c>
      <c r="U1150" s="79">
        <v>2022</v>
      </c>
    </row>
    <row r="1151" spans="1:21" ht="15.75">
      <c r="A1151" s="79">
        <f>A1150+1</f>
        <v>403</v>
      </c>
      <c r="B1151" s="255" t="s">
        <v>777</v>
      </c>
      <c r="C1151" s="81">
        <v>1966</v>
      </c>
      <c r="D1151" s="79"/>
      <c r="E1151" s="79"/>
      <c r="F1151" s="13">
        <v>1387</v>
      </c>
      <c r="G1151" s="33">
        <v>1245.4000000000001</v>
      </c>
      <c r="H1151" s="1">
        <f>I1151+J1151+K1151+L1151+M1151+N1151+O1151</f>
        <v>10325521.779999999</v>
      </c>
      <c r="I1151" s="1">
        <v>0</v>
      </c>
      <c r="J1151" s="1">
        <v>0</v>
      </c>
      <c r="K1151" s="1">
        <f>ROUND(7807.38*G1151*1.015,2)</f>
        <v>9869160.7200000007</v>
      </c>
      <c r="L1151" s="1">
        <v>0</v>
      </c>
      <c r="M1151" s="1">
        <v>0</v>
      </c>
      <c r="N1151" s="1">
        <v>0</v>
      </c>
      <c r="O1151" s="1">
        <v>456361.06</v>
      </c>
      <c r="P1151" s="1">
        <v>0</v>
      </c>
      <c r="Q1151" s="1">
        <v>0</v>
      </c>
      <c r="R1151" s="1">
        <v>0</v>
      </c>
      <c r="S1151" s="1">
        <f>H1151</f>
        <v>10325521.779999999</v>
      </c>
      <c r="T1151" s="79">
        <v>2022</v>
      </c>
      <c r="U1151" s="79">
        <v>2022</v>
      </c>
    </row>
    <row r="1152" spans="1:21" ht="15.75">
      <c r="A1152" s="79">
        <f>A1151+1</f>
        <v>404</v>
      </c>
      <c r="B1152" s="255" t="s">
        <v>778</v>
      </c>
      <c r="C1152" s="81">
        <v>1987</v>
      </c>
      <c r="D1152" s="79"/>
      <c r="E1152" s="79"/>
      <c r="F1152" s="13">
        <v>3869.5</v>
      </c>
      <c r="G1152" s="33">
        <v>3493.4</v>
      </c>
      <c r="H1152" s="1">
        <f>I1152+J1152+K1152+L1152+M1152+N1152+O1152</f>
        <v>18069215.77</v>
      </c>
      <c r="I1152" s="1">
        <v>0</v>
      </c>
      <c r="J1152" s="1">
        <v>0</v>
      </c>
      <c r="K1152" s="1">
        <v>0</v>
      </c>
      <c r="L1152" s="1">
        <v>0</v>
      </c>
      <c r="M1152" s="1">
        <f>ROUND(3435.59*G1152*1.015,2)</f>
        <v>12181918.460000001</v>
      </c>
      <c r="N1152" s="1">
        <f>ROUND(1135.41*G1152*1.015,2)</f>
        <v>4025937.91</v>
      </c>
      <c r="O1152" s="1">
        <f>1399008.48+462350.92</f>
        <v>1861359.4</v>
      </c>
      <c r="P1152" s="1">
        <v>0</v>
      </c>
      <c r="Q1152" s="1">
        <v>0</v>
      </c>
      <c r="R1152" s="1">
        <v>0</v>
      </c>
      <c r="S1152" s="1">
        <f>H1152</f>
        <v>18069215.77</v>
      </c>
      <c r="T1152" s="79">
        <v>2022</v>
      </c>
      <c r="U1152" s="79">
        <v>2022</v>
      </c>
    </row>
    <row r="1153" spans="1:21" ht="15.75">
      <c r="A1153" s="290" t="s">
        <v>606</v>
      </c>
      <c r="B1153" s="290"/>
      <c r="C1153" s="81"/>
      <c r="D1153" s="79"/>
      <c r="E1153" s="79"/>
      <c r="F1153" s="15">
        <f>SUM(F1149:F1152)</f>
        <v>8137.8</v>
      </c>
      <c r="G1153" s="15">
        <f>SUM(G1149:G1152)</f>
        <v>7363.8</v>
      </c>
      <c r="H1153" s="27">
        <f>SUM(H1149:H1152)</f>
        <v>47594842</v>
      </c>
      <c r="I1153" s="15">
        <f t="shared" ref="I1153:Q1153" si="220">SUM(I1149:I1152)</f>
        <v>0</v>
      </c>
      <c r="J1153" s="15">
        <f t="shared" si="220"/>
        <v>0</v>
      </c>
      <c r="K1153" s="27">
        <f>SUM(K1149:K1152)</f>
        <v>28104052.559999999</v>
      </c>
      <c r="L1153" s="15">
        <f t="shared" si="220"/>
        <v>0</v>
      </c>
      <c r="M1153" s="27">
        <f>SUM(M1149:M1152)</f>
        <v>12181918.460000001</v>
      </c>
      <c r="N1153" s="27">
        <f>SUM(N1149:N1152)</f>
        <v>4025937.91</v>
      </c>
      <c r="O1153" s="27">
        <f>SUM(O1149:O1152)</f>
        <v>3282933.07</v>
      </c>
      <c r="P1153" s="15">
        <f t="shared" si="220"/>
        <v>0</v>
      </c>
      <c r="Q1153" s="15">
        <f t="shared" si="220"/>
        <v>0</v>
      </c>
      <c r="R1153" s="15">
        <f>SUM(R1149:R1152)</f>
        <v>0</v>
      </c>
      <c r="S1153" s="27">
        <f>SUM(S1149:S1152)</f>
        <v>47594842</v>
      </c>
      <c r="T1153" s="16" t="s">
        <v>31</v>
      </c>
      <c r="U1153" s="16" t="s">
        <v>31</v>
      </c>
    </row>
    <row r="1154" spans="1:21" ht="15.75">
      <c r="A1154" s="290" t="s">
        <v>1092</v>
      </c>
      <c r="B1154" s="290"/>
      <c r="C1154" s="83"/>
      <c r="D1154" s="116"/>
      <c r="E1154" s="116"/>
      <c r="F1154" s="27">
        <f>F1153</f>
        <v>8137.8</v>
      </c>
      <c r="G1154" s="27">
        <f>G1153</f>
        <v>7363.8</v>
      </c>
      <c r="H1154" s="27">
        <f>H1153</f>
        <v>47594842</v>
      </c>
      <c r="I1154" s="15">
        <f t="shared" ref="I1154:S1154" si="221">I1153</f>
        <v>0</v>
      </c>
      <c r="J1154" s="15">
        <f t="shared" si="221"/>
        <v>0</v>
      </c>
      <c r="K1154" s="27">
        <f t="shared" si="221"/>
        <v>28104052.559999999</v>
      </c>
      <c r="L1154" s="15">
        <f t="shared" si="221"/>
        <v>0</v>
      </c>
      <c r="M1154" s="27">
        <f t="shared" si="221"/>
        <v>12181918.460000001</v>
      </c>
      <c r="N1154" s="27">
        <f t="shared" si="221"/>
        <v>4025937.91</v>
      </c>
      <c r="O1154" s="27">
        <f t="shared" si="221"/>
        <v>3282933.07</v>
      </c>
      <c r="P1154" s="15">
        <f t="shared" si="221"/>
        <v>0</v>
      </c>
      <c r="Q1154" s="15">
        <f t="shared" si="221"/>
        <v>0</v>
      </c>
      <c r="R1154" s="15">
        <f>R1153</f>
        <v>0</v>
      </c>
      <c r="S1154" s="27">
        <f t="shared" si="221"/>
        <v>47594842</v>
      </c>
      <c r="T1154" s="16" t="s">
        <v>31</v>
      </c>
      <c r="U1154" s="16" t="s">
        <v>31</v>
      </c>
    </row>
    <row r="1155" spans="1:21" ht="15.75">
      <c r="A1155" s="289" t="s">
        <v>628</v>
      </c>
      <c r="B1155" s="289"/>
      <c r="C1155" s="289"/>
      <c r="D1155" s="289"/>
      <c r="E1155" s="289"/>
      <c r="F1155" s="289"/>
      <c r="G1155" s="289"/>
      <c r="H1155" s="289"/>
      <c r="I1155" s="289"/>
      <c r="J1155" s="289"/>
      <c r="K1155" s="289"/>
      <c r="L1155" s="289"/>
      <c r="M1155" s="289"/>
      <c r="N1155" s="289"/>
      <c r="O1155" s="289"/>
      <c r="P1155" s="289"/>
      <c r="Q1155" s="289"/>
      <c r="R1155" s="289"/>
      <c r="S1155" s="289"/>
      <c r="T1155" s="289"/>
      <c r="U1155" s="289"/>
    </row>
    <row r="1156" spans="1:21" ht="16.5" customHeight="1">
      <c r="A1156" s="79">
        <f>A1152+1</f>
        <v>405</v>
      </c>
      <c r="B1156" s="186" t="s">
        <v>647</v>
      </c>
      <c r="C1156" s="81">
        <v>1964</v>
      </c>
      <c r="D1156" s="116"/>
      <c r="E1156" s="149"/>
      <c r="F1156" s="92">
        <v>781</v>
      </c>
      <c r="G1156" s="48">
        <v>660</v>
      </c>
      <c r="H1156" s="1">
        <f>I1156+J1156+K1156+L1156+M1156+N1156+O1156</f>
        <v>8060043.9299999997</v>
      </c>
      <c r="I1156" s="1">
        <f>1936143+1936143*0.015</f>
        <v>1965185.15</v>
      </c>
      <c r="J1156" s="1">
        <v>0</v>
      </c>
      <c r="K1156" s="1">
        <v>5705904.5999999996</v>
      </c>
      <c r="L1156" s="1">
        <v>0</v>
      </c>
      <c r="M1156" s="1">
        <v>0</v>
      </c>
      <c r="N1156" s="1">
        <v>0</v>
      </c>
      <c r="O1156" s="1">
        <f>272785.6+116168.58</f>
        <v>388954.18</v>
      </c>
      <c r="P1156" s="1">
        <v>0</v>
      </c>
      <c r="Q1156" s="1">
        <f>H1156</f>
        <v>8060043.9299999997</v>
      </c>
      <c r="R1156" s="27">
        <v>0</v>
      </c>
      <c r="S1156" s="1">
        <v>0</v>
      </c>
      <c r="T1156" s="79">
        <v>2021</v>
      </c>
      <c r="U1156" s="79" t="s">
        <v>868</v>
      </c>
    </row>
    <row r="1157" spans="1:21" ht="16.5" customHeight="1">
      <c r="A1157" s="79">
        <f t="shared" ref="A1157:A1169" si="222">A1156+1</f>
        <v>406</v>
      </c>
      <c r="B1157" s="186" t="s">
        <v>648</v>
      </c>
      <c r="C1157" s="81">
        <v>1973</v>
      </c>
      <c r="D1157" s="116"/>
      <c r="E1157" s="149"/>
      <c r="F1157" s="92">
        <v>658</v>
      </c>
      <c r="G1157" s="48">
        <v>658</v>
      </c>
      <c r="H1157" s="1">
        <f t="shared" ref="H1157:H1169" si="223">I1157+J1157+K1157+L1157+M1157+N1157+O1157</f>
        <v>8038100.3700000001</v>
      </c>
      <c r="I1157" s="1">
        <f>1930275.9+1930275.9*0.015</f>
        <v>1959230.04</v>
      </c>
      <c r="J1157" s="1">
        <v>0</v>
      </c>
      <c r="K1157" s="1">
        <v>5688613.9800000004</v>
      </c>
      <c r="L1157" s="1">
        <v>0</v>
      </c>
      <c r="M1157" s="1">
        <v>0</v>
      </c>
      <c r="N1157" s="1">
        <v>0</v>
      </c>
      <c r="O1157" s="1">
        <f>274439.8+115816.55</f>
        <v>390256.35</v>
      </c>
      <c r="P1157" s="1">
        <v>0</v>
      </c>
      <c r="Q1157" s="1">
        <f t="shared" ref="Q1157:Q1169" si="224">H1157</f>
        <v>8038100.3700000001</v>
      </c>
      <c r="R1157" s="27">
        <v>0</v>
      </c>
      <c r="S1157" s="1">
        <v>0</v>
      </c>
      <c r="T1157" s="79">
        <v>2021</v>
      </c>
      <c r="U1157" s="79" t="s">
        <v>868</v>
      </c>
    </row>
    <row r="1158" spans="1:21" ht="16.5" customHeight="1">
      <c r="A1158" s="182">
        <f t="shared" si="222"/>
        <v>407</v>
      </c>
      <c r="B1158" s="186" t="s">
        <v>649</v>
      </c>
      <c r="C1158" s="190">
        <v>1963</v>
      </c>
      <c r="D1158" s="179"/>
      <c r="E1158" s="258"/>
      <c r="F1158" s="180">
        <v>661</v>
      </c>
      <c r="G1158" s="48">
        <v>661</v>
      </c>
      <c r="H1158" s="1">
        <f t="shared" si="223"/>
        <v>8052100.5700000003</v>
      </c>
      <c r="I1158" s="1">
        <f>1939076.55+1939076.55*0.015</f>
        <v>1968162.7</v>
      </c>
      <c r="J1158" s="1">
        <v>0</v>
      </c>
      <c r="K1158" s="1">
        <v>5693188.1799999997</v>
      </c>
      <c r="L1158" s="1">
        <v>0</v>
      </c>
      <c r="M1158" s="1">
        <v>0</v>
      </c>
      <c r="N1158" s="1">
        <v>0</v>
      </c>
      <c r="O1158" s="1">
        <f>274405.1+116344.59</f>
        <v>390749.69</v>
      </c>
      <c r="P1158" s="1">
        <v>0</v>
      </c>
      <c r="Q1158" s="1">
        <f t="shared" si="224"/>
        <v>8052100.5700000003</v>
      </c>
      <c r="R1158" s="27">
        <v>0</v>
      </c>
      <c r="S1158" s="1">
        <v>0</v>
      </c>
      <c r="T1158" s="79">
        <v>2021</v>
      </c>
      <c r="U1158" s="79" t="s">
        <v>868</v>
      </c>
    </row>
    <row r="1159" spans="1:21" ht="16.5" customHeight="1">
      <c r="A1159" s="182">
        <f t="shared" si="222"/>
        <v>408</v>
      </c>
      <c r="B1159" s="186" t="s">
        <v>650</v>
      </c>
      <c r="C1159" s="190">
        <v>1972</v>
      </c>
      <c r="D1159" s="179"/>
      <c r="E1159" s="258"/>
      <c r="F1159" s="180">
        <v>979.2</v>
      </c>
      <c r="G1159" s="48">
        <v>979.2</v>
      </c>
      <c r="H1159" s="1">
        <f t="shared" si="223"/>
        <v>11549420.67</v>
      </c>
      <c r="I1159" s="1">
        <f>2872532.16+2872532.16*0.015</f>
        <v>2915620.14</v>
      </c>
      <c r="J1159" s="1">
        <v>0</v>
      </c>
      <c r="K1159" s="1">
        <v>8047068</v>
      </c>
      <c r="L1159" s="1">
        <v>0</v>
      </c>
      <c r="M1159" s="1"/>
      <c r="N1159" s="1">
        <v>0</v>
      </c>
      <c r="O1159" s="1">
        <v>586732.53</v>
      </c>
      <c r="P1159" s="1">
        <v>0</v>
      </c>
      <c r="Q1159" s="1">
        <f t="shared" si="224"/>
        <v>11549420.67</v>
      </c>
      <c r="R1159" s="27">
        <v>0</v>
      </c>
      <c r="S1159" s="1">
        <v>0</v>
      </c>
      <c r="T1159" s="79">
        <v>2021</v>
      </c>
      <c r="U1159" s="79" t="s">
        <v>868</v>
      </c>
    </row>
    <row r="1160" spans="1:21" ht="16.5" customHeight="1">
      <c r="A1160" s="182">
        <f t="shared" si="222"/>
        <v>409</v>
      </c>
      <c r="B1160" s="186" t="s">
        <v>651</v>
      </c>
      <c r="C1160" s="190">
        <v>1969</v>
      </c>
      <c r="D1160" s="179"/>
      <c r="E1160" s="258"/>
      <c r="F1160" s="180">
        <v>762.5</v>
      </c>
      <c r="G1160" s="48">
        <v>762.5</v>
      </c>
      <c r="H1160" s="1">
        <f t="shared" si="223"/>
        <v>9890285.0399999991</v>
      </c>
      <c r="I1160" s="1">
        <f>2236831.88+2236831.88*0.015</f>
        <v>2270384.36</v>
      </c>
      <c r="J1160" s="1">
        <v>0</v>
      </c>
      <c r="K1160" s="1">
        <v>7314165.1699999999</v>
      </c>
      <c r="L1160" s="1">
        <v>0</v>
      </c>
      <c r="M1160" s="1">
        <v>0</v>
      </c>
      <c r="N1160" s="1">
        <v>0</v>
      </c>
      <c r="O1160" s="1">
        <f>171525.6+134209.91</f>
        <v>305735.51</v>
      </c>
      <c r="P1160" s="1">
        <v>0</v>
      </c>
      <c r="Q1160" s="1">
        <f t="shared" si="224"/>
        <v>9890285.0399999991</v>
      </c>
      <c r="R1160" s="27">
        <v>0</v>
      </c>
      <c r="S1160" s="1">
        <v>0</v>
      </c>
      <c r="T1160" s="79">
        <v>2021</v>
      </c>
      <c r="U1160" s="79" t="s">
        <v>868</v>
      </c>
    </row>
    <row r="1161" spans="1:21" ht="16.5" customHeight="1">
      <c r="A1161" s="182">
        <f t="shared" si="222"/>
        <v>410</v>
      </c>
      <c r="B1161" s="186" t="s">
        <v>652</v>
      </c>
      <c r="C1161" s="190">
        <v>1969</v>
      </c>
      <c r="D1161" s="179"/>
      <c r="E1161" s="258"/>
      <c r="F1161" s="180">
        <v>854.9</v>
      </c>
      <c r="G1161" s="48">
        <v>854.9</v>
      </c>
      <c r="H1161" s="1">
        <f t="shared" si="223"/>
        <v>9727712.6199999992</v>
      </c>
      <c r="I1161" s="1">
        <f>2507891.9+2507891.9*0.015</f>
        <v>2545510.2799999998</v>
      </c>
      <c r="J1161" s="1">
        <v>0</v>
      </c>
      <c r="K1161" s="1">
        <v>6856416</v>
      </c>
      <c r="L1161" s="1">
        <v>0</v>
      </c>
      <c r="M1161" s="1">
        <v>0</v>
      </c>
      <c r="N1161" s="1">
        <v>0</v>
      </c>
      <c r="O1161" s="1">
        <f>175312.83+150473.51</f>
        <v>325786.34000000003</v>
      </c>
      <c r="P1161" s="1">
        <v>0</v>
      </c>
      <c r="Q1161" s="1">
        <f t="shared" si="224"/>
        <v>9727712.6199999992</v>
      </c>
      <c r="R1161" s="27">
        <v>0</v>
      </c>
      <c r="S1161" s="1">
        <v>0</v>
      </c>
      <c r="T1161" s="79">
        <v>2021</v>
      </c>
      <c r="U1161" s="79" t="s">
        <v>868</v>
      </c>
    </row>
    <row r="1162" spans="1:21" ht="16.5" customHeight="1">
      <c r="A1162" s="182">
        <f t="shared" si="222"/>
        <v>411</v>
      </c>
      <c r="B1162" s="186" t="s">
        <v>653</v>
      </c>
      <c r="C1162" s="190">
        <v>1966</v>
      </c>
      <c r="D1162" s="179"/>
      <c r="E1162" s="258"/>
      <c r="F1162" s="180">
        <v>661</v>
      </c>
      <c r="G1162" s="48">
        <v>661</v>
      </c>
      <c r="H1162" s="1">
        <f t="shared" si="223"/>
        <v>16659430</v>
      </c>
      <c r="I1162" s="1">
        <f>1939076.55+1939076.55*0.015</f>
        <v>1968162.7</v>
      </c>
      <c r="J1162" s="1">
        <v>0</v>
      </c>
      <c r="K1162" s="1">
        <v>6460269.04</v>
      </c>
      <c r="L1162" s="1">
        <v>0</v>
      </c>
      <c r="M1162" s="1">
        <f>7623927.73+7623927.73*0.015-0.01</f>
        <v>7738286.6399999997</v>
      </c>
      <c r="N1162" s="1">
        <v>0</v>
      </c>
      <c r="O1162" s="1">
        <f>170096.9+116344.59+206270.13</f>
        <v>492711.62</v>
      </c>
      <c r="P1162" s="1">
        <v>0</v>
      </c>
      <c r="Q1162" s="1">
        <f t="shared" si="224"/>
        <v>16659430</v>
      </c>
      <c r="R1162" s="27">
        <v>0</v>
      </c>
      <c r="S1162" s="1">
        <v>0</v>
      </c>
      <c r="T1162" s="79">
        <v>2021</v>
      </c>
      <c r="U1162" s="79" t="s">
        <v>868</v>
      </c>
    </row>
    <row r="1163" spans="1:21" ht="16.5" customHeight="1">
      <c r="A1163" s="182">
        <f t="shared" si="222"/>
        <v>412</v>
      </c>
      <c r="B1163" s="186" t="s">
        <v>654</v>
      </c>
      <c r="C1163" s="190">
        <v>1964</v>
      </c>
      <c r="D1163" s="179"/>
      <c r="E1163" s="258"/>
      <c r="F1163" s="180">
        <v>838.9</v>
      </c>
      <c r="G1163" s="48">
        <v>838.9</v>
      </c>
      <c r="H1163" s="1">
        <f t="shared" si="223"/>
        <v>17515768.350000001</v>
      </c>
      <c r="I1163" s="1"/>
      <c r="J1163" s="1">
        <v>0</v>
      </c>
      <c r="K1163" s="1">
        <v>7913839.4000000004</v>
      </c>
      <c r="L1163" s="1">
        <v>0</v>
      </c>
      <c r="M1163" s="1">
        <v>9066754.9499999993</v>
      </c>
      <c r="N1163" s="1">
        <v>0</v>
      </c>
      <c r="O1163" s="1">
        <f>176594.3+210922.39+147657.31</f>
        <v>535174</v>
      </c>
      <c r="P1163" s="1">
        <v>0</v>
      </c>
      <c r="Q1163" s="1">
        <f t="shared" si="224"/>
        <v>17515768.350000001</v>
      </c>
      <c r="R1163" s="27">
        <v>0</v>
      </c>
      <c r="S1163" s="1">
        <v>0</v>
      </c>
      <c r="T1163" s="79">
        <v>2021</v>
      </c>
      <c r="U1163" s="79" t="s">
        <v>868</v>
      </c>
    </row>
    <row r="1164" spans="1:21" ht="16.5" customHeight="1">
      <c r="A1164" s="182">
        <f t="shared" si="222"/>
        <v>413</v>
      </c>
      <c r="B1164" s="186" t="s">
        <v>655</v>
      </c>
      <c r="C1164" s="190">
        <v>1975</v>
      </c>
      <c r="D1164" s="179"/>
      <c r="E1164" s="258"/>
      <c r="F1164" s="180">
        <v>3585.2</v>
      </c>
      <c r="G1164" s="48">
        <v>3537.2</v>
      </c>
      <c r="H1164" s="1">
        <f t="shared" si="223"/>
        <v>13165579.869999999</v>
      </c>
      <c r="I1164" s="1"/>
      <c r="J1164" s="1">
        <v>0</v>
      </c>
      <c r="K1164" s="165">
        <v>11945071.93</v>
      </c>
      <c r="L1164" s="1">
        <v>0</v>
      </c>
      <c r="M1164" s="1">
        <v>0</v>
      </c>
      <c r="N1164" s="1">
        <v>0</v>
      </c>
      <c r="O1164" s="1">
        <f>509602.9+710905.04</f>
        <v>1220507.94</v>
      </c>
      <c r="P1164" s="1">
        <v>0</v>
      </c>
      <c r="Q1164" s="1">
        <f t="shared" si="224"/>
        <v>13165579.869999999</v>
      </c>
      <c r="R1164" s="27">
        <v>0</v>
      </c>
      <c r="S1164" s="1">
        <v>0</v>
      </c>
      <c r="T1164" s="79">
        <v>2021</v>
      </c>
      <c r="U1164" s="79" t="s">
        <v>868</v>
      </c>
    </row>
    <row r="1165" spans="1:21" ht="16.5" customHeight="1">
      <c r="A1165" s="182">
        <f t="shared" si="222"/>
        <v>414</v>
      </c>
      <c r="B1165" s="186" t="s">
        <v>656</v>
      </c>
      <c r="C1165" s="190">
        <v>1979</v>
      </c>
      <c r="D1165" s="179"/>
      <c r="E1165" s="258"/>
      <c r="F1165" s="180">
        <v>2143.1</v>
      </c>
      <c r="G1165" s="48">
        <v>2086.3000000000002</v>
      </c>
      <c r="H1165" s="1">
        <f t="shared" si="223"/>
        <v>7850848.0499999998</v>
      </c>
      <c r="I1165" s="1"/>
      <c r="J1165" s="1">
        <v>0</v>
      </c>
      <c r="K1165" s="1">
        <v>6968206.3099999996</v>
      </c>
      <c r="L1165" s="1">
        <v>0</v>
      </c>
      <c r="M1165" s="1">
        <v>0</v>
      </c>
      <c r="N1165" s="1">
        <v>0</v>
      </c>
      <c r="O1165" s="1">
        <f>463338+419303.74</f>
        <v>882641.74</v>
      </c>
      <c r="P1165" s="1">
        <v>0</v>
      </c>
      <c r="Q1165" s="1">
        <f t="shared" si="224"/>
        <v>7850848.0499999998</v>
      </c>
      <c r="R1165" s="27">
        <v>0</v>
      </c>
      <c r="S1165" s="1">
        <v>0</v>
      </c>
      <c r="T1165" s="79">
        <v>2021</v>
      </c>
      <c r="U1165" s="79" t="s">
        <v>868</v>
      </c>
    </row>
    <row r="1166" spans="1:21" ht="16.5" customHeight="1">
      <c r="A1166" s="182">
        <f t="shared" si="222"/>
        <v>415</v>
      </c>
      <c r="B1166" s="186" t="s">
        <v>657</v>
      </c>
      <c r="C1166" s="190">
        <v>1980</v>
      </c>
      <c r="D1166" s="179"/>
      <c r="E1166" s="258"/>
      <c r="F1166" s="180">
        <v>3548.4</v>
      </c>
      <c r="G1166" s="48">
        <v>3548.4</v>
      </c>
      <c r="H1166" s="1">
        <f t="shared" si="223"/>
        <v>13705065.529999999</v>
      </c>
      <c r="I1166" s="1"/>
      <c r="J1166" s="1">
        <v>0</v>
      </c>
      <c r="K1166" s="165">
        <v>12480787.32</v>
      </c>
      <c r="L1166" s="1">
        <v>0</v>
      </c>
      <c r="M1166" s="1">
        <v>0</v>
      </c>
      <c r="N1166" s="1">
        <v>0</v>
      </c>
      <c r="O1166" s="1">
        <f>511122.2+713156.01</f>
        <v>1224278.21</v>
      </c>
      <c r="P1166" s="1">
        <v>0</v>
      </c>
      <c r="Q1166" s="1">
        <f t="shared" si="224"/>
        <v>13705065.529999999</v>
      </c>
      <c r="R1166" s="27">
        <v>0</v>
      </c>
      <c r="S1166" s="1">
        <v>0</v>
      </c>
      <c r="T1166" s="79">
        <v>2021</v>
      </c>
      <c r="U1166" s="79" t="s">
        <v>868</v>
      </c>
    </row>
    <row r="1167" spans="1:21" ht="16.5" customHeight="1">
      <c r="A1167" s="182">
        <f t="shared" si="222"/>
        <v>416</v>
      </c>
      <c r="B1167" s="186" t="s">
        <v>658</v>
      </c>
      <c r="C1167" s="190">
        <v>1983</v>
      </c>
      <c r="D1167" s="179"/>
      <c r="E1167" s="258"/>
      <c r="F1167" s="180">
        <v>3504.2</v>
      </c>
      <c r="G1167" s="48">
        <v>3504.2</v>
      </c>
      <c r="H1167" s="1">
        <f t="shared" si="223"/>
        <v>13165710.75</v>
      </c>
      <c r="I1167" s="1"/>
      <c r="J1167" s="1">
        <v>0</v>
      </c>
      <c r="K1167" s="1">
        <v>11954712</v>
      </c>
      <c r="L1167" s="1">
        <v>0</v>
      </c>
      <c r="M1167" s="1">
        <v>0</v>
      </c>
      <c r="N1167" s="1">
        <v>0</v>
      </c>
      <c r="O1167" s="1">
        <f>506726.04+704272.71</f>
        <v>1210998.75</v>
      </c>
      <c r="P1167" s="1">
        <v>0</v>
      </c>
      <c r="Q1167" s="1">
        <f t="shared" si="224"/>
        <v>13165710.75</v>
      </c>
      <c r="R1167" s="27">
        <v>0</v>
      </c>
      <c r="S1167" s="1">
        <v>0</v>
      </c>
      <c r="T1167" s="79">
        <v>2021</v>
      </c>
      <c r="U1167" s="79" t="s">
        <v>868</v>
      </c>
    </row>
    <row r="1168" spans="1:21" ht="16.5" customHeight="1">
      <c r="A1168" s="182">
        <f t="shared" si="222"/>
        <v>417</v>
      </c>
      <c r="B1168" s="186" t="s">
        <v>659</v>
      </c>
      <c r="C1168" s="190">
        <v>1960</v>
      </c>
      <c r="D1168" s="179"/>
      <c r="E1168" s="258"/>
      <c r="F1168" s="180">
        <v>1858.8</v>
      </c>
      <c r="G1168" s="48">
        <v>1858.8</v>
      </c>
      <c r="H1168" s="1">
        <f t="shared" si="223"/>
        <v>7493764.6100000003</v>
      </c>
      <c r="I1168" s="1"/>
      <c r="J1168" s="1">
        <v>0</v>
      </c>
      <c r="K1168" s="1">
        <v>6709820.8499999996</v>
      </c>
      <c r="L1168" s="1">
        <v>0</v>
      </c>
      <c r="M1168" s="1">
        <v>0</v>
      </c>
      <c r="N1168" s="1">
        <v>0</v>
      </c>
      <c r="O1168" s="1">
        <f>456770.8+327172.96</f>
        <v>783943.76</v>
      </c>
      <c r="P1168" s="1">
        <v>0</v>
      </c>
      <c r="Q1168" s="1">
        <f t="shared" si="224"/>
        <v>7493764.6100000003</v>
      </c>
      <c r="R1168" s="27">
        <v>0</v>
      </c>
      <c r="S1168" s="1">
        <v>0</v>
      </c>
      <c r="T1168" s="79">
        <v>2021</v>
      </c>
      <c r="U1168" s="79" t="s">
        <v>868</v>
      </c>
    </row>
    <row r="1169" spans="1:21" ht="16.5" customHeight="1">
      <c r="A1169" s="182">
        <f t="shared" si="222"/>
        <v>418</v>
      </c>
      <c r="B1169" s="186" t="s">
        <v>660</v>
      </c>
      <c r="C1169" s="190">
        <v>1966</v>
      </c>
      <c r="D1169" s="179"/>
      <c r="E1169" s="258"/>
      <c r="F1169" s="180">
        <v>1959.2</v>
      </c>
      <c r="G1169" s="48">
        <v>1840.8</v>
      </c>
      <c r="H1169" s="1">
        <f t="shared" si="223"/>
        <v>12352729.42</v>
      </c>
      <c r="I1169" s="1">
        <v>0</v>
      </c>
      <c r="J1169" s="1">
        <v>0</v>
      </c>
      <c r="K1169" s="1">
        <v>11318632.99</v>
      </c>
      <c r="L1169" s="1">
        <v>0</v>
      </c>
      <c r="M1169" s="1"/>
      <c r="N1169" s="1">
        <v>0</v>
      </c>
      <c r="O1169" s="1">
        <v>1034096.43</v>
      </c>
      <c r="P1169" s="1">
        <v>0</v>
      </c>
      <c r="Q1169" s="1">
        <f t="shared" si="224"/>
        <v>12352729.42</v>
      </c>
      <c r="R1169" s="27">
        <v>0</v>
      </c>
      <c r="S1169" s="1">
        <v>0</v>
      </c>
      <c r="T1169" s="79">
        <v>2021</v>
      </c>
      <c r="U1169" s="79">
        <v>2023</v>
      </c>
    </row>
    <row r="1170" spans="1:21" ht="15.75">
      <c r="A1170" s="182">
        <f t="shared" ref="A1170:A1176" si="225">A1169+1</f>
        <v>419</v>
      </c>
      <c r="B1170" s="259" t="s">
        <v>350</v>
      </c>
      <c r="C1170" s="260" t="s">
        <v>351</v>
      </c>
      <c r="D1170" s="182"/>
      <c r="E1170" s="182"/>
      <c r="F1170" s="12">
        <v>2829.1</v>
      </c>
      <c r="G1170" s="12">
        <v>2384.8000000000002</v>
      </c>
      <c r="H1170" s="1">
        <f t="shared" ref="H1170:H1176" si="226">I1170+J1170+K1170+L1170+M1170+N1170+O1170</f>
        <v>2490261.46</v>
      </c>
      <c r="I1170" s="1">
        <f>ROUND(903.99*G1170*1.015,2)</f>
        <v>2188172.88</v>
      </c>
      <c r="J1170" s="1">
        <v>0</v>
      </c>
      <c r="K1170" s="1">
        <v>0</v>
      </c>
      <c r="L1170" s="1">
        <v>0</v>
      </c>
      <c r="M1170" s="1">
        <v>0</v>
      </c>
      <c r="N1170" s="1">
        <v>0</v>
      </c>
      <c r="O1170" s="1">
        <v>302088.58</v>
      </c>
      <c r="P1170" s="1">
        <v>0</v>
      </c>
      <c r="Q1170" s="1">
        <v>0</v>
      </c>
      <c r="R1170" s="1">
        <v>0</v>
      </c>
      <c r="S1170" s="13">
        <f t="shared" ref="S1170:S1176" si="227">H1170</f>
        <v>2490261.46</v>
      </c>
      <c r="T1170" s="79">
        <v>2022</v>
      </c>
      <c r="U1170" s="79">
        <v>2022</v>
      </c>
    </row>
    <row r="1171" spans="1:21" ht="15.75">
      <c r="A1171" s="182">
        <f t="shared" si="225"/>
        <v>420</v>
      </c>
      <c r="B1171" s="259" t="s">
        <v>779</v>
      </c>
      <c r="C1171" s="190">
        <v>1969</v>
      </c>
      <c r="D1171" s="182"/>
      <c r="E1171" s="182"/>
      <c r="F1171" s="12">
        <v>4066</v>
      </c>
      <c r="G1171" s="12">
        <v>3240.5</v>
      </c>
      <c r="H1171" s="1">
        <f t="shared" si="226"/>
        <v>3354656.45</v>
      </c>
      <c r="I1171" s="1">
        <f>ROUND(903.99*G1171*1.015,2)</f>
        <v>2973320.29</v>
      </c>
      <c r="J1171" s="1">
        <v>0</v>
      </c>
      <c r="K1171" s="1">
        <v>0</v>
      </c>
      <c r="L1171" s="1">
        <v>0</v>
      </c>
      <c r="M1171" s="1">
        <v>0</v>
      </c>
      <c r="N1171" s="1">
        <v>0</v>
      </c>
      <c r="O1171" s="1">
        <v>381336.16</v>
      </c>
      <c r="P1171" s="1">
        <v>0</v>
      </c>
      <c r="Q1171" s="1">
        <v>0</v>
      </c>
      <c r="R1171" s="1">
        <v>0</v>
      </c>
      <c r="S1171" s="13">
        <f t="shared" si="227"/>
        <v>3354656.45</v>
      </c>
      <c r="T1171" s="79">
        <v>2022</v>
      </c>
      <c r="U1171" s="79">
        <v>2022</v>
      </c>
    </row>
    <row r="1172" spans="1:21" ht="15.75">
      <c r="A1172" s="182">
        <f t="shared" si="225"/>
        <v>421</v>
      </c>
      <c r="B1172" s="259" t="s">
        <v>780</v>
      </c>
      <c r="C1172" s="190">
        <v>1992</v>
      </c>
      <c r="D1172" s="182"/>
      <c r="E1172" s="182"/>
      <c r="F1172" s="12">
        <v>8717</v>
      </c>
      <c r="G1172" s="12">
        <v>6957.6</v>
      </c>
      <c r="H1172" s="1">
        <f t="shared" si="226"/>
        <v>9392423.1799999997</v>
      </c>
      <c r="I1172" s="1">
        <f>ROUND((635.88+578.78)*G1172*1.015,2)</f>
        <v>8577885.1899999995</v>
      </c>
      <c r="J1172" s="1">
        <v>0</v>
      </c>
      <c r="K1172" s="1">
        <v>0</v>
      </c>
      <c r="L1172" s="1">
        <v>0</v>
      </c>
      <c r="M1172" s="1">
        <v>0</v>
      </c>
      <c r="N1172" s="1">
        <v>0</v>
      </c>
      <c r="O1172" s="1">
        <v>814537.99</v>
      </c>
      <c r="P1172" s="1">
        <v>0</v>
      </c>
      <c r="Q1172" s="1">
        <v>0</v>
      </c>
      <c r="R1172" s="1">
        <v>0</v>
      </c>
      <c r="S1172" s="13">
        <f t="shared" si="227"/>
        <v>9392423.1799999997</v>
      </c>
      <c r="T1172" s="79">
        <v>2022</v>
      </c>
      <c r="U1172" s="79">
        <v>2022</v>
      </c>
    </row>
    <row r="1173" spans="1:21" ht="15.75">
      <c r="A1173" s="182">
        <f t="shared" si="225"/>
        <v>422</v>
      </c>
      <c r="B1173" s="259" t="s">
        <v>781</v>
      </c>
      <c r="C1173" s="190">
        <v>2000</v>
      </c>
      <c r="D1173" s="182"/>
      <c r="E1173" s="182"/>
      <c r="F1173" s="12">
        <v>8607.2999999999993</v>
      </c>
      <c r="G1173" s="12">
        <v>6990.3</v>
      </c>
      <c r="H1173" s="1">
        <f t="shared" si="226"/>
        <v>9432738.3499999996</v>
      </c>
      <c r="I1173" s="1">
        <f>ROUND((635.88+578.78)*G1173*1.015,2)</f>
        <v>8618200.3599999994</v>
      </c>
      <c r="J1173" s="1">
        <v>0</v>
      </c>
      <c r="K1173" s="1">
        <v>0</v>
      </c>
      <c r="L1173" s="1">
        <v>0</v>
      </c>
      <c r="M1173" s="1">
        <v>0</v>
      </c>
      <c r="N1173" s="1">
        <v>0</v>
      </c>
      <c r="O1173" s="1">
        <v>814537.99</v>
      </c>
      <c r="P1173" s="1">
        <v>0</v>
      </c>
      <c r="Q1173" s="1">
        <v>0</v>
      </c>
      <c r="R1173" s="1">
        <v>0</v>
      </c>
      <c r="S1173" s="13">
        <f t="shared" si="227"/>
        <v>9432738.3499999996</v>
      </c>
      <c r="T1173" s="79">
        <v>2022</v>
      </c>
      <c r="U1173" s="79">
        <v>2022</v>
      </c>
    </row>
    <row r="1174" spans="1:21" ht="15.75">
      <c r="A1174" s="182">
        <f t="shared" si="225"/>
        <v>423</v>
      </c>
      <c r="B1174" s="259" t="s">
        <v>782</v>
      </c>
      <c r="C1174" s="190">
        <v>1993</v>
      </c>
      <c r="D1174" s="182"/>
      <c r="E1174" s="182"/>
      <c r="F1174" s="12">
        <v>8876.5</v>
      </c>
      <c r="G1174" s="12">
        <v>7680.5</v>
      </c>
      <c r="H1174" s="1">
        <f t="shared" si="226"/>
        <v>10265391.710000001</v>
      </c>
      <c r="I1174" s="1">
        <f>ROUND((635.88+578.78)*G1174*1.015,2)</f>
        <v>9469134.0700000003</v>
      </c>
      <c r="J1174" s="1">
        <v>0</v>
      </c>
      <c r="K1174" s="1">
        <v>0</v>
      </c>
      <c r="L1174" s="1">
        <v>0</v>
      </c>
      <c r="M1174" s="1">
        <v>0</v>
      </c>
      <c r="N1174" s="1">
        <v>0</v>
      </c>
      <c r="O1174" s="1">
        <v>796257.64</v>
      </c>
      <c r="P1174" s="1">
        <v>0</v>
      </c>
      <c r="Q1174" s="1">
        <v>0</v>
      </c>
      <c r="R1174" s="1">
        <v>0</v>
      </c>
      <c r="S1174" s="13">
        <f t="shared" si="227"/>
        <v>10265391.710000001</v>
      </c>
      <c r="T1174" s="79">
        <v>2022</v>
      </c>
      <c r="U1174" s="79">
        <v>2022</v>
      </c>
    </row>
    <row r="1175" spans="1:21" ht="15.75">
      <c r="A1175" s="182">
        <f t="shared" si="225"/>
        <v>424</v>
      </c>
      <c r="B1175" s="186" t="s">
        <v>783</v>
      </c>
      <c r="C1175" s="190" t="s">
        <v>784</v>
      </c>
      <c r="D1175" s="182"/>
      <c r="E1175" s="182"/>
      <c r="F1175" s="33">
        <v>8030.2</v>
      </c>
      <c r="G1175" s="33">
        <v>6018.2</v>
      </c>
      <c r="H1175" s="1">
        <f t="shared" si="226"/>
        <v>21878116.719999999</v>
      </c>
      <c r="I1175" s="1">
        <v>0</v>
      </c>
      <c r="J1175" s="1">
        <v>0</v>
      </c>
      <c r="K1175" s="1">
        <v>0</v>
      </c>
      <c r="L1175" s="1">
        <v>0</v>
      </c>
      <c r="M1175" s="1">
        <f>3435.59*G1175*1.015+0.01</f>
        <v>20986208.760000002</v>
      </c>
      <c r="N1175" s="1"/>
      <c r="O1175" s="1">
        <v>891907.96</v>
      </c>
      <c r="P1175" s="1">
        <v>0</v>
      </c>
      <c r="Q1175" s="1">
        <v>0</v>
      </c>
      <c r="R1175" s="1">
        <v>0</v>
      </c>
      <c r="S1175" s="1">
        <f t="shared" si="227"/>
        <v>21878116.719999999</v>
      </c>
      <c r="T1175" s="79">
        <v>2022</v>
      </c>
      <c r="U1175" s="79">
        <v>2022</v>
      </c>
    </row>
    <row r="1176" spans="1:21" ht="15.75">
      <c r="A1176" s="182">
        <f t="shared" si="225"/>
        <v>425</v>
      </c>
      <c r="B1176" s="186" t="s">
        <v>785</v>
      </c>
      <c r="C1176" s="190">
        <v>1963</v>
      </c>
      <c r="D1176" s="182"/>
      <c r="E1176" s="182"/>
      <c r="F1176" s="33">
        <v>1780.3</v>
      </c>
      <c r="G1176" s="33">
        <v>1419</v>
      </c>
      <c r="H1176" s="1">
        <f t="shared" si="226"/>
        <v>4977269.28</v>
      </c>
      <c r="I1176" s="1">
        <v>0</v>
      </c>
      <c r="J1176" s="1">
        <v>0</v>
      </c>
      <c r="K1176" s="1">
        <v>0</v>
      </c>
      <c r="L1176" s="1">
        <v>0</v>
      </c>
      <c r="M1176" s="1">
        <f>3284.11*G1176*1.015+0.01</f>
        <v>4730054.38</v>
      </c>
      <c r="N1176" s="1"/>
      <c r="O1176" s="1">
        <v>247214.9</v>
      </c>
      <c r="P1176" s="1">
        <v>0</v>
      </c>
      <c r="Q1176" s="1">
        <v>0</v>
      </c>
      <c r="R1176" s="1">
        <v>0</v>
      </c>
      <c r="S1176" s="1">
        <f t="shared" si="227"/>
        <v>4977269.28</v>
      </c>
      <c r="T1176" s="79">
        <v>2022</v>
      </c>
      <c r="U1176" s="79">
        <v>2022</v>
      </c>
    </row>
    <row r="1177" spans="1:21" ht="15.75">
      <c r="A1177" s="290" t="s">
        <v>805</v>
      </c>
      <c r="B1177" s="290"/>
      <c r="C1177" s="83"/>
      <c r="D1177" s="116"/>
      <c r="E1177" s="116"/>
      <c r="F1177" s="35">
        <f t="shared" ref="F1177:S1177" si="228">SUM(F1156:F1176)</f>
        <v>65701.8</v>
      </c>
      <c r="G1177" s="35">
        <f t="shared" si="228"/>
        <v>57142.1</v>
      </c>
      <c r="H1177" s="27">
        <f t="shared" si="228"/>
        <v>219017416.93000001</v>
      </c>
      <c r="I1177" s="27">
        <f t="shared" si="228"/>
        <v>47418968.159999996</v>
      </c>
      <c r="J1177" s="15">
        <f t="shared" si="228"/>
        <v>0</v>
      </c>
      <c r="K1177" s="27">
        <f t="shared" si="228"/>
        <v>115056695.77</v>
      </c>
      <c r="L1177" s="15">
        <f t="shared" si="228"/>
        <v>0</v>
      </c>
      <c r="M1177" s="27">
        <f t="shared" si="228"/>
        <v>42521304.729999997</v>
      </c>
      <c r="N1177" s="15">
        <f t="shared" si="228"/>
        <v>0</v>
      </c>
      <c r="O1177" s="27">
        <f t="shared" si="228"/>
        <v>14020448.27</v>
      </c>
      <c r="P1177" s="15">
        <f t="shared" si="228"/>
        <v>0</v>
      </c>
      <c r="Q1177" s="27">
        <f t="shared" si="228"/>
        <v>157226559.78</v>
      </c>
      <c r="R1177" s="15">
        <f t="shared" si="228"/>
        <v>0</v>
      </c>
      <c r="S1177" s="27">
        <f t="shared" si="228"/>
        <v>61790857.149999999</v>
      </c>
      <c r="T1177" s="16" t="s">
        <v>31</v>
      </c>
      <c r="U1177" s="16" t="s">
        <v>31</v>
      </c>
    </row>
    <row r="1178" spans="1:21" ht="15.75" customHeight="1">
      <c r="A1178" s="289" t="s">
        <v>1060</v>
      </c>
      <c r="B1178" s="289"/>
      <c r="C1178" s="289"/>
      <c r="D1178" s="289"/>
      <c r="E1178" s="289"/>
      <c r="F1178" s="289"/>
      <c r="G1178" s="289"/>
      <c r="H1178" s="289"/>
      <c r="I1178" s="289"/>
      <c r="J1178" s="289"/>
      <c r="K1178" s="289"/>
      <c r="L1178" s="289"/>
      <c r="M1178" s="289"/>
      <c r="N1178" s="289"/>
      <c r="O1178" s="289"/>
      <c r="P1178" s="289"/>
      <c r="Q1178" s="289"/>
      <c r="R1178" s="289"/>
      <c r="S1178" s="289"/>
      <c r="T1178" s="289"/>
      <c r="U1178" s="289"/>
    </row>
    <row r="1179" spans="1:21" ht="15.75">
      <c r="A1179" s="289" t="s">
        <v>661</v>
      </c>
      <c r="B1179" s="289"/>
      <c r="C1179" s="289"/>
      <c r="D1179" s="289"/>
      <c r="E1179" s="289"/>
      <c r="F1179" s="289"/>
      <c r="G1179" s="289"/>
      <c r="H1179" s="289"/>
      <c r="I1179" s="289"/>
      <c r="J1179" s="289"/>
      <c r="K1179" s="289"/>
      <c r="L1179" s="289"/>
      <c r="M1179" s="289"/>
      <c r="N1179" s="289"/>
      <c r="O1179" s="289"/>
      <c r="P1179" s="289"/>
      <c r="Q1179" s="289"/>
      <c r="R1179" s="289"/>
      <c r="S1179" s="289"/>
      <c r="T1179" s="289"/>
      <c r="U1179" s="289"/>
    </row>
    <row r="1180" spans="1:21" ht="15" customHeight="1">
      <c r="A1180" s="79">
        <f>A1176+1</f>
        <v>426</v>
      </c>
      <c r="B1180" s="264" t="s">
        <v>664</v>
      </c>
      <c r="C1180" s="81">
        <v>1987</v>
      </c>
      <c r="D1180" s="79"/>
      <c r="E1180" s="79"/>
      <c r="F1180" s="90">
        <v>848.6</v>
      </c>
      <c r="G1180" s="90">
        <v>755.9</v>
      </c>
      <c r="H1180" s="1">
        <f t="shared" ref="H1180:H1185" si="229">I1180+J1180+K1180+L1180+M1180+N1180+O1180</f>
        <v>472810.73</v>
      </c>
      <c r="I1180" s="1">
        <v>472810.73</v>
      </c>
      <c r="J1180" s="1">
        <v>0</v>
      </c>
      <c r="K1180" s="1">
        <v>0</v>
      </c>
      <c r="L1180" s="1">
        <v>0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0</v>
      </c>
      <c r="S1180" s="13">
        <f>H1180</f>
        <v>472810.73</v>
      </c>
      <c r="T1180" s="79">
        <v>2021</v>
      </c>
      <c r="U1180" s="79">
        <v>2022</v>
      </c>
    </row>
    <row r="1181" spans="1:21" ht="15" customHeight="1">
      <c r="A1181" s="79">
        <f>A1180+1</f>
        <v>427</v>
      </c>
      <c r="B1181" s="186" t="s">
        <v>786</v>
      </c>
      <c r="C1181" s="81">
        <v>1991</v>
      </c>
      <c r="D1181" s="79"/>
      <c r="E1181" s="79"/>
      <c r="F1181" s="90">
        <v>565.4</v>
      </c>
      <c r="G1181" s="90">
        <v>503.7</v>
      </c>
      <c r="H1181" s="1">
        <f t="shared" si="229"/>
        <v>1018151.81</v>
      </c>
      <c r="I1181" s="1">
        <f>ROUND((947117.94)*1.015,2)</f>
        <v>961324.71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56827.1</v>
      </c>
      <c r="P1181" s="1">
        <v>0</v>
      </c>
      <c r="Q1181" s="1">
        <v>0</v>
      </c>
      <c r="R1181" s="1">
        <v>0</v>
      </c>
      <c r="S1181" s="13">
        <f>H1181</f>
        <v>1018151.81</v>
      </c>
      <c r="T1181" s="79">
        <v>2022</v>
      </c>
      <c r="U1181" s="79">
        <v>2022</v>
      </c>
    </row>
    <row r="1182" spans="1:21" ht="15" customHeight="1">
      <c r="A1182" s="79">
        <f>A1181+1</f>
        <v>428</v>
      </c>
      <c r="B1182" s="186" t="s">
        <v>787</v>
      </c>
      <c r="C1182" s="81">
        <v>1981</v>
      </c>
      <c r="D1182" s="79"/>
      <c r="E1182" s="79"/>
      <c r="F1182" s="90">
        <v>1871.4</v>
      </c>
      <c r="G1182" s="90">
        <v>1302.5999999999999</v>
      </c>
      <c r="H1182" s="1">
        <f t="shared" si="229"/>
        <v>2157506.65</v>
      </c>
      <c r="I1182" s="1">
        <v>0</v>
      </c>
      <c r="J1182" s="1">
        <v>0</v>
      </c>
      <c r="K1182" s="1">
        <f>2006982.93+(0.015*2006982.93)</f>
        <v>2037087.67</v>
      </c>
      <c r="L1182" s="1">
        <v>0</v>
      </c>
      <c r="M1182" s="1">
        <v>0</v>
      </c>
      <c r="N1182" s="1">
        <v>0</v>
      </c>
      <c r="O1182" s="1">
        <f>2006982.93*0.06</f>
        <v>120418.98</v>
      </c>
      <c r="P1182" s="1">
        <v>0</v>
      </c>
      <c r="Q1182" s="1">
        <v>0</v>
      </c>
      <c r="R1182" s="1"/>
      <c r="S1182" s="13">
        <f>H1182</f>
        <v>2157506.65</v>
      </c>
      <c r="T1182" s="79">
        <v>2022</v>
      </c>
      <c r="U1182" s="79">
        <v>2022</v>
      </c>
    </row>
    <row r="1183" spans="1:21" ht="15" customHeight="1">
      <c r="A1183" s="79">
        <f>A1182+1</f>
        <v>429</v>
      </c>
      <c r="B1183" s="186" t="s">
        <v>788</v>
      </c>
      <c r="C1183" s="81">
        <v>1962</v>
      </c>
      <c r="D1183" s="79"/>
      <c r="E1183" s="79"/>
      <c r="F1183" s="90">
        <v>333.8</v>
      </c>
      <c r="G1183" s="90">
        <v>214.1</v>
      </c>
      <c r="H1183" s="1">
        <f t="shared" si="229"/>
        <v>4296973.72</v>
      </c>
      <c r="I1183" s="1">
        <v>0</v>
      </c>
      <c r="J1183" s="1">
        <v>0</v>
      </c>
      <c r="K1183" s="1">
        <f>2249495.27+33742.42</f>
        <v>2283237.69</v>
      </c>
      <c r="L1183" s="1">
        <v>0</v>
      </c>
      <c r="M1183" s="1">
        <f>1747689.6+(0.015*1747689.6)</f>
        <v>1773904.94</v>
      </c>
      <c r="N1183" s="1">
        <v>0</v>
      </c>
      <c r="O1183" s="1">
        <f>(2249495.27+1747689.6)*0.06</f>
        <v>239831.09</v>
      </c>
      <c r="P1183" s="1">
        <v>0</v>
      </c>
      <c r="Q1183" s="1">
        <v>0</v>
      </c>
      <c r="R1183" s="1">
        <v>0</v>
      </c>
      <c r="S1183" s="13">
        <f>H1183</f>
        <v>4296973.72</v>
      </c>
      <c r="T1183" s="79">
        <v>2022</v>
      </c>
      <c r="U1183" s="79">
        <v>2022</v>
      </c>
    </row>
    <row r="1184" spans="1:21" ht="15" customHeight="1">
      <c r="A1184" s="79">
        <f>A1183+1</f>
        <v>430</v>
      </c>
      <c r="B1184" s="186" t="s">
        <v>789</v>
      </c>
      <c r="C1184" s="81">
        <v>1965</v>
      </c>
      <c r="D1184" s="79"/>
      <c r="E1184" s="79"/>
      <c r="F1184" s="90">
        <v>517.6</v>
      </c>
      <c r="G1184" s="90">
        <v>339.3</v>
      </c>
      <c r="H1184" s="1">
        <f t="shared" si="229"/>
        <v>7581187.0300000003</v>
      </c>
      <c r="I1184" s="1">
        <v>0</v>
      </c>
      <c r="J1184" s="1">
        <v>0</v>
      </c>
      <c r="K1184" s="1">
        <f>3478753.37+52181.3</f>
        <v>3530934.67</v>
      </c>
      <c r="L1184" s="1">
        <v>0</v>
      </c>
      <c r="M1184" s="1">
        <f>2702731.22+(2702731.22*0.015)</f>
        <v>2743272.19</v>
      </c>
      <c r="N1184" s="1">
        <v>733610.29</v>
      </c>
      <c r="O1184" s="1">
        <f>(3478753.37+2702731.22)*0.06+202480.8</f>
        <v>573369.88</v>
      </c>
      <c r="P1184" s="1">
        <v>0</v>
      </c>
      <c r="Q1184" s="1">
        <f>N1184+202480.8</f>
        <v>936091.09</v>
      </c>
      <c r="R1184" s="1">
        <v>0</v>
      </c>
      <c r="S1184" s="13">
        <f>H1184-Q1184</f>
        <v>6645095.9400000004</v>
      </c>
      <c r="T1184" s="79">
        <v>2022</v>
      </c>
      <c r="U1184" s="79">
        <v>2022</v>
      </c>
    </row>
    <row r="1185" spans="1:21" ht="15" customHeight="1">
      <c r="A1185" s="79">
        <f>A1184+1</f>
        <v>431</v>
      </c>
      <c r="B1185" s="186" t="s">
        <v>1094</v>
      </c>
      <c r="C1185" s="81">
        <v>1970</v>
      </c>
      <c r="D1185" s="79"/>
      <c r="E1185" s="79"/>
      <c r="F1185" s="90">
        <v>518.20000000000005</v>
      </c>
      <c r="G1185" s="90">
        <v>518.20000000000005</v>
      </c>
      <c r="H1185" s="1">
        <f t="shared" si="229"/>
        <v>4074785.38</v>
      </c>
      <c r="I1185" s="152">
        <v>3803133.02</v>
      </c>
      <c r="J1185" s="1"/>
      <c r="K1185" s="1"/>
      <c r="L1185" s="1"/>
      <c r="M1185" s="1"/>
      <c r="N1185" s="1"/>
      <c r="O1185" s="1">
        <v>271652.36</v>
      </c>
      <c r="P1185" s="1"/>
      <c r="Q1185" s="1">
        <f>H1185</f>
        <v>4074785.38</v>
      </c>
      <c r="R1185" s="1"/>
      <c r="S1185" s="13"/>
      <c r="T1185" s="79">
        <v>2022</v>
      </c>
      <c r="U1185" s="79">
        <v>2023</v>
      </c>
    </row>
    <row r="1186" spans="1:21" ht="16.5" customHeight="1">
      <c r="A1186" s="290" t="s">
        <v>606</v>
      </c>
      <c r="B1186" s="290"/>
      <c r="C1186" s="83"/>
      <c r="D1186" s="116"/>
      <c r="E1186" s="116"/>
      <c r="F1186" s="15">
        <f>SUM(F1180:F1185)</f>
        <v>4655</v>
      </c>
      <c r="G1186" s="15">
        <f>SUM(G1180:G1185)</f>
        <v>3633.8</v>
      </c>
      <c r="H1186" s="15">
        <f>SUM(H1180:H1185)</f>
        <v>19601415.32</v>
      </c>
      <c r="I1186" s="15">
        <f t="shared" ref="I1186:R1186" si="230">SUM(I1180:I1185)</f>
        <v>5237268.46</v>
      </c>
      <c r="J1186" s="15">
        <f t="shared" si="230"/>
        <v>0</v>
      </c>
      <c r="K1186" s="15">
        <f t="shared" si="230"/>
        <v>7851260.0300000003</v>
      </c>
      <c r="L1186" s="15">
        <f t="shared" si="230"/>
        <v>0</v>
      </c>
      <c r="M1186" s="15">
        <f t="shared" si="230"/>
        <v>4517177.13</v>
      </c>
      <c r="N1186" s="15">
        <f t="shared" si="230"/>
        <v>733610.29</v>
      </c>
      <c r="O1186" s="15">
        <f t="shared" si="230"/>
        <v>1262099.4099999999</v>
      </c>
      <c r="P1186" s="15">
        <f t="shared" si="230"/>
        <v>0</v>
      </c>
      <c r="Q1186" s="15">
        <f>SUM(Q1180:Q1185)</f>
        <v>5010876.47</v>
      </c>
      <c r="R1186" s="15">
        <f t="shared" si="230"/>
        <v>0</v>
      </c>
      <c r="S1186" s="15">
        <f>SUM(S1180:S1185)</f>
        <v>14590538.85</v>
      </c>
      <c r="T1186" s="16" t="s">
        <v>31</v>
      </c>
      <c r="U1186" s="16" t="s">
        <v>31</v>
      </c>
    </row>
    <row r="1187" spans="1:21" ht="20.25" customHeight="1">
      <c r="A1187" s="290" t="s">
        <v>1088</v>
      </c>
      <c r="B1187" s="290"/>
      <c r="C1187" s="160"/>
      <c r="D1187" s="149"/>
      <c r="E1187" s="149"/>
      <c r="F1187" s="15">
        <f t="shared" ref="F1187:K1187" si="231">F1186</f>
        <v>4655</v>
      </c>
      <c r="G1187" s="15">
        <f t="shared" si="231"/>
        <v>3633.8</v>
      </c>
      <c r="H1187" s="15">
        <f t="shared" si="231"/>
        <v>19601415.32</v>
      </c>
      <c r="I1187" s="15">
        <f t="shared" si="231"/>
        <v>5237268.46</v>
      </c>
      <c r="J1187" s="15">
        <f t="shared" si="231"/>
        <v>0</v>
      </c>
      <c r="K1187" s="15">
        <f t="shared" si="231"/>
        <v>7851260.0300000003</v>
      </c>
      <c r="L1187" s="15">
        <f>SUM(L1181:L1186)</f>
        <v>0</v>
      </c>
      <c r="M1187" s="15">
        <f t="shared" ref="M1187:S1187" si="232">M1186</f>
        <v>4517177.13</v>
      </c>
      <c r="N1187" s="15">
        <f t="shared" si="232"/>
        <v>733610.29</v>
      </c>
      <c r="O1187" s="15">
        <f t="shared" si="232"/>
        <v>1262099.4099999999</v>
      </c>
      <c r="P1187" s="15">
        <f t="shared" si="232"/>
        <v>0</v>
      </c>
      <c r="Q1187" s="15">
        <f t="shared" si="232"/>
        <v>5010876.47</v>
      </c>
      <c r="R1187" s="15">
        <f t="shared" si="232"/>
        <v>0</v>
      </c>
      <c r="S1187" s="15">
        <f t="shared" si="232"/>
        <v>14590538.85</v>
      </c>
      <c r="T1187" s="16" t="s">
        <v>31</v>
      </c>
      <c r="U1187" s="16" t="s">
        <v>31</v>
      </c>
    </row>
    <row r="1188" spans="1:21" ht="15.75">
      <c r="A1188" s="282" t="s">
        <v>790</v>
      </c>
      <c r="B1188" s="282"/>
      <c r="C1188" s="282"/>
      <c r="D1188" s="282"/>
      <c r="E1188" s="282"/>
      <c r="F1188" s="282"/>
      <c r="G1188" s="282"/>
      <c r="H1188" s="282"/>
      <c r="I1188" s="282"/>
      <c r="J1188" s="282"/>
      <c r="K1188" s="282"/>
      <c r="L1188" s="282"/>
      <c r="M1188" s="282"/>
      <c r="N1188" s="282"/>
      <c r="O1188" s="282"/>
      <c r="P1188" s="282"/>
      <c r="Q1188" s="282"/>
      <c r="R1188" s="282"/>
      <c r="S1188" s="282"/>
      <c r="T1188" s="166"/>
      <c r="U1188" s="166"/>
    </row>
    <row r="1189" spans="1:21" ht="15.75">
      <c r="A1189" s="288" t="s">
        <v>791</v>
      </c>
      <c r="B1189" s="288"/>
      <c r="C1189" s="288"/>
      <c r="D1189" s="288"/>
      <c r="E1189" s="288"/>
      <c r="F1189" s="288"/>
      <c r="G1189" s="288"/>
      <c r="H1189" s="288"/>
      <c r="I1189" s="288"/>
      <c r="J1189" s="288"/>
      <c r="K1189" s="288"/>
      <c r="L1189" s="288"/>
      <c r="M1189" s="288"/>
      <c r="N1189" s="288"/>
      <c r="O1189" s="288"/>
      <c r="P1189" s="288"/>
      <c r="Q1189" s="288"/>
      <c r="R1189" s="288"/>
      <c r="S1189" s="288"/>
      <c r="T1189" s="288"/>
      <c r="U1189" s="288"/>
    </row>
    <row r="1190" spans="1:21" ht="15.75">
      <c r="A1190" s="288" t="s">
        <v>1090</v>
      </c>
      <c r="B1190" s="288"/>
      <c r="C1190" s="288"/>
      <c r="D1190" s="288"/>
      <c r="E1190" s="288"/>
      <c r="F1190" s="288"/>
      <c r="G1190" s="288"/>
      <c r="H1190" s="288"/>
      <c r="I1190" s="288"/>
      <c r="J1190" s="66"/>
      <c r="K1190" s="67"/>
      <c r="L1190" s="67"/>
      <c r="M1190" s="67"/>
      <c r="N1190" s="67"/>
      <c r="O1190" s="67"/>
      <c r="P1190" s="67"/>
      <c r="Q1190" s="167"/>
      <c r="R1190" s="167"/>
      <c r="S1190" s="54"/>
      <c r="T1190" s="166"/>
      <c r="U1190" s="166"/>
    </row>
    <row r="1191" spans="1:21" ht="15.75">
      <c r="A1191" s="288" t="s">
        <v>1091</v>
      </c>
      <c r="B1191" s="288"/>
      <c r="C1191" s="288"/>
      <c r="D1191" s="288"/>
      <c r="E1191" s="288"/>
      <c r="F1191" s="288"/>
      <c r="G1191" s="288"/>
      <c r="H1191" s="288"/>
      <c r="I1191" s="288"/>
      <c r="J1191" s="66"/>
      <c r="K1191" s="67"/>
      <c r="L1191" s="67"/>
      <c r="M1191" s="67"/>
      <c r="N1191" s="67"/>
      <c r="O1191" s="67"/>
      <c r="P1191" s="67"/>
      <c r="Q1191" s="67"/>
      <c r="R1191" s="56"/>
      <c r="S1191" s="54"/>
      <c r="T1191" s="166"/>
      <c r="U1191" s="166"/>
    </row>
    <row r="1192" spans="1:21" ht="18" customHeight="1">
      <c r="A1192" s="288" t="s">
        <v>1089</v>
      </c>
      <c r="B1192" s="288"/>
      <c r="C1192" s="288"/>
      <c r="D1192" s="288"/>
      <c r="E1192" s="288"/>
      <c r="F1192" s="288"/>
      <c r="G1192" s="288"/>
      <c r="H1192" s="288"/>
      <c r="I1192" s="288"/>
      <c r="J1192" s="168"/>
      <c r="K1192" s="66"/>
      <c r="L1192" s="66"/>
      <c r="M1192" s="66"/>
      <c r="N1192" s="66"/>
      <c r="O1192" s="66"/>
      <c r="P1192" s="169"/>
      <c r="Q1192" s="66"/>
      <c r="R1192" s="66"/>
      <c r="S1192" s="55"/>
      <c r="T1192" s="58"/>
      <c r="U1192" s="58"/>
    </row>
    <row r="1193" spans="1:21" ht="19.5" customHeight="1">
      <c r="A1193" s="282" t="s">
        <v>1081</v>
      </c>
      <c r="B1193" s="283"/>
      <c r="C1193" s="283"/>
      <c r="D1193" s="283"/>
      <c r="E1193" s="283"/>
      <c r="F1193" s="283"/>
      <c r="G1193" s="283"/>
      <c r="H1193" s="283"/>
      <c r="I1193" s="283"/>
      <c r="J1193" s="66"/>
      <c r="K1193" s="66"/>
      <c r="L1193" s="66"/>
      <c r="M1193" s="66"/>
      <c r="N1193" s="66"/>
      <c r="O1193" s="66"/>
      <c r="P1193" s="169"/>
      <c r="Q1193" s="66"/>
      <c r="R1193" s="66"/>
      <c r="S1193" s="55"/>
      <c r="T1193" s="58"/>
      <c r="U1193" s="58"/>
    </row>
    <row r="1194" spans="1:21" ht="15">
      <c r="A1194" s="282" t="s">
        <v>1078</v>
      </c>
      <c r="B1194" s="283"/>
      <c r="C1194" s="283"/>
      <c r="D1194" s="283"/>
      <c r="E1194" s="283"/>
      <c r="F1194" s="283"/>
      <c r="G1194" s="283"/>
      <c r="H1194" s="283"/>
      <c r="I1194" s="283"/>
      <c r="J1194" s="66"/>
      <c r="K1194" s="66"/>
      <c r="L1194" s="66"/>
      <c r="M1194" s="66"/>
      <c r="N1194" s="66"/>
      <c r="O1194" s="66"/>
      <c r="P1194" s="169"/>
      <c r="Q1194" s="66"/>
      <c r="R1194" s="66"/>
      <c r="S1194" s="55"/>
      <c r="T1194" s="58"/>
      <c r="U1194" s="58"/>
    </row>
    <row r="1195" spans="1:21" ht="15.75">
      <c r="A1195" s="282" t="s">
        <v>1080</v>
      </c>
      <c r="B1195" s="284"/>
      <c r="C1195" s="284"/>
      <c r="D1195" s="284"/>
      <c r="E1195" s="284"/>
      <c r="F1195" s="284"/>
      <c r="G1195" s="284"/>
      <c r="H1195" s="284"/>
      <c r="I1195" s="284"/>
      <c r="J1195" s="66"/>
      <c r="K1195" s="66"/>
      <c r="L1195" s="66"/>
      <c r="M1195" s="66"/>
      <c r="N1195" s="66"/>
      <c r="O1195" s="66"/>
      <c r="P1195" s="169"/>
      <c r="Q1195" s="66"/>
      <c r="R1195" s="66"/>
      <c r="S1195" s="55"/>
      <c r="T1195" s="58"/>
      <c r="U1195" s="58"/>
    </row>
    <row r="1196" spans="1:21" ht="15">
      <c r="A1196" s="64"/>
      <c r="B1196" s="273"/>
      <c r="C1196" s="170"/>
      <c r="D1196" s="170"/>
      <c r="E1196" s="170"/>
      <c r="F1196" s="170"/>
      <c r="G1196" s="170"/>
      <c r="H1196" s="170"/>
      <c r="I1196" s="170"/>
      <c r="J1196" s="66"/>
      <c r="K1196" s="66"/>
      <c r="L1196" s="66"/>
      <c r="M1196" s="66"/>
      <c r="N1196" s="66"/>
      <c r="O1196" s="66"/>
      <c r="P1196" s="169"/>
      <c r="Q1196" s="66"/>
      <c r="R1196" s="66"/>
      <c r="S1196" s="55"/>
      <c r="T1196" s="58"/>
      <c r="U1196" s="58"/>
    </row>
    <row r="1197" spans="1:21">
      <c r="H1197" s="171"/>
      <c r="I1197" s="171"/>
      <c r="J1197" s="171"/>
      <c r="K1197" s="171"/>
    </row>
  </sheetData>
  <autoFilter ref="A386:V695"/>
  <mergeCells count="215">
    <mergeCell ref="A26:U26"/>
    <mergeCell ref="A42:B42"/>
    <mergeCell ref="A53:U53"/>
    <mergeCell ref="A68:B68"/>
    <mergeCell ref="A69:U69"/>
    <mergeCell ref="A7:U7"/>
    <mergeCell ref="A9:A12"/>
    <mergeCell ref="B9:B12"/>
    <mergeCell ref="C9:C12"/>
    <mergeCell ref="D9:D12"/>
    <mergeCell ref="A15:B15"/>
    <mergeCell ref="A16:B16"/>
    <mergeCell ref="A17:U17"/>
    <mergeCell ref="A25:B25"/>
    <mergeCell ref="N5:S5"/>
    <mergeCell ref="A6:U6"/>
    <mergeCell ref="O10:O11"/>
    <mergeCell ref="P10:S10"/>
    <mergeCell ref="A262:U262"/>
    <mergeCell ref="A218:B218"/>
    <mergeCell ref="A261:B261"/>
    <mergeCell ref="F9:F11"/>
    <mergeCell ref="G9:G11"/>
    <mergeCell ref="H9:S9"/>
    <mergeCell ref="T9:T12"/>
    <mergeCell ref="K10:K11"/>
    <mergeCell ref="L10:L11"/>
    <mergeCell ref="M10:M11"/>
    <mergeCell ref="N10:N11"/>
    <mergeCell ref="E9:E12"/>
    <mergeCell ref="A43:U43"/>
    <mergeCell ref="A219:U219"/>
    <mergeCell ref="A233:B233"/>
    <mergeCell ref="A234:U234"/>
    <mergeCell ref="U9:U12"/>
    <mergeCell ref="H10:H11"/>
    <mergeCell ref="I10:I11"/>
    <mergeCell ref="J10:J11"/>
    <mergeCell ref="A241:B241"/>
    <mergeCell ref="A242:U242"/>
    <mergeCell ref="A52:B52"/>
    <mergeCell ref="A312:B312"/>
    <mergeCell ref="A313:B313"/>
    <mergeCell ref="A314:U314"/>
    <mergeCell ref="A315:U315"/>
    <mergeCell ref="A317:B317"/>
    <mergeCell ref="A318:U318"/>
    <mergeCell ref="A292:U292"/>
    <mergeCell ref="A293:U293"/>
    <mergeCell ref="A299:B299"/>
    <mergeCell ref="A300:U300"/>
    <mergeCell ref="A309:B309"/>
    <mergeCell ref="A310:U310"/>
    <mergeCell ref="A291:B291"/>
    <mergeCell ref="A266:B266"/>
    <mergeCell ref="A267:U267"/>
    <mergeCell ref="A284:B284"/>
    <mergeCell ref="A285:U285"/>
    <mergeCell ref="A290:B290"/>
    <mergeCell ref="A336:B336"/>
    <mergeCell ref="A337:U337"/>
    <mergeCell ref="A340:B340"/>
    <mergeCell ref="A341:U341"/>
    <mergeCell ref="A343:B343"/>
    <mergeCell ref="A344:B344"/>
    <mergeCell ref="A320:B320"/>
    <mergeCell ref="A321:U321"/>
    <mergeCell ref="A326:B326"/>
    <mergeCell ref="A327:U327"/>
    <mergeCell ref="A332:B332"/>
    <mergeCell ref="A333:U333"/>
    <mergeCell ref="A362:B362"/>
    <mergeCell ref="A363:U363"/>
    <mergeCell ref="A369:B369"/>
    <mergeCell ref="A370:U370"/>
    <mergeCell ref="A375:B375"/>
    <mergeCell ref="A376:B376"/>
    <mergeCell ref="A345:U345"/>
    <mergeCell ref="A346:U346"/>
    <mergeCell ref="A348:B348"/>
    <mergeCell ref="A349:B349"/>
    <mergeCell ref="A350:U350"/>
    <mergeCell ref="A351:U351"/>
    <mergeCell ref="A385:U385"/>
    <mergeCell ref="A398:B398"/>
    <mergeCell ref="A399:U399"/>
    <mergeCell ref="A409:B409"/>
    <mergeCell ref="A410:U410"/>
    <mergeCell ref="A421:B421"/>
    <mergeCell ref="A377:U377"/>
    <mergeCell ref="A378:U378"/>
    <mergeCell ref="A381:B381"/>
    <mergeCell ref="A382:B382"/>
    <mergeCell ref="A383:U383"/>
    <mergeCell ref="A384:B384"/>
    <mergeCell ref="A646:U646"/>
    <mergeCell ref="A650:B650"/>
    <mergeCell ref="A641:B641"/>
    <mergeCell ref="A422:U422"/>
    <mergeCell ref="A432:B432"/>
    <mergeCell ref="A433:U433"/>
    <mergeCell ref="A524:B524"/>
    <mergeCell ref="A525:U525"/>
    <mergeCell ref="A538:B538"/>
    <mergeCell ref="A588:U588"/>
    <mergeCell ref="A590:B590"/>
    <mergeCell ref="A591:U591"/>
    <mergeCell ref="A611:B611"/>
    <mergeCell ref="A612:U612"/>
    <mergeCell ref="A615:B615"/>
    <mergeCell ref="A539:U539"/>
    <mergeCell ref="A550:B550"/>
    <mergeCell ref="A551:U551"/>
    <mergeCell ref="A572:B572"/>
    <mergeCell ref="A573:U573"/>
    <mergeCell ref="A587:B587"/>
    <mergeCell ref="A642:U642"/>
    <mergeCell ref="A645:B645"/>
    <mergeCell ref="A636:U636"/>
    <mergeCell ref="A760:U760"/>
    <mergeCell ref="A976:B976"/>
    <mergeCell ref="A1085:U1085"/>
    <mergeCell ref="A690:U690"/>
    <mergeCell ref="A638:B638"/>
    <mergeCell ref="A639:U639"/>
    <mergeCell ref="A616:U616"/>
    <mergeCell ref="A617:U617"/>
    <mergeCell ref="A619:B619"/>
    <mergeCell ref="A620:U620"/>
    <mergeCell ref="A629:B629"/>
    <mergeCell ref="A630:U630"/>
    <mergeCell ref="A633:B633"/>
    <mergeCell ref="A634:B634"/>
    <mergeCell ref="A635:U635"/>
    <mergeCell ref="A665:U665"/>
    <mergeCell ref="A651:U651"/>
    <mergeCell ref="A656:B656"/>
    <mergeCell ref="A657:U657"/>
    <mergeCell ref="A659:B659"/>
    <mergeCell ref="A660:B660"/>
    <mergeCell ref="A661:U661"/>
    <mergeCell ref="A662:U662"/>
    <mergeCell ref="A664:B664"/>
    <mergeCell ref="A1143:U1143"/>
    <mergeCell ref="A1145:B1145"/>
    <mergeCell ref="A1140:U1140"/>
    <mergeCell ref="A1126:B1126"/>
    <mergeCell ref="A667:B667"/>
    <mergeCell ref="A668:B668"/>
    <mergeCell ref="A669:U669"/>
    <mergeCell ref="A688:B688"/>
    <mergeCell ref="A689:U689"/>
    <mergeCell ref="A698:U698"/>
    <mergeCell ref="A1110:U1110"/>
    <mergeCell ref="A1097:B1097"/>
    <mergeCell ref="A1108:B1108"/>
    <mergeCell ref="A1090:B1090"/>
    <mergeCell ref="A1091:U1091"/>
    <mergeCell ref="A730:U730"/>
    <mergeCell ref="A744:B744"/>
    <mergeCell ref="A709:B709"/>
    <mergeCell ref="A696:U696"/>
    <mergeCell ref="A729:B729"/>
    <mergeCell ref="A695:B695"/>
    <mergeCell ref="A697:B697"/>
    <mergeCell ref="A710:U710"/>
    <mergeCell ref="A759:B759"/>
    <mergeCell ref="A1010:B1010"/>
    <mergeCell ref="A1011:U1011"/>
    <mergeCell ref="A1017:B1017"/>
    <mergeCell ref="A1018:U1018"/>
    <mergeCell ref="A1092:U1092"/>
    <mergeCell ref="A1109:B1109"/>
    <mergeCell ref="A745:U745"/>
    <mergeCell ref="A1193:I1193"/>
    <mergeCell ref="A1098:U1098"/>
    <mergeCell ref="A1100:B1100"/>
    <mergeCell ref="A1101:U1101"/>
    <mergeCell ref="A1044:U1044"/>
    <mergeCell ref="A1058:B1058"/>
    <mergeCell ref="A1059:U1059"/>
    <mergeCell ref="A1061:B1061"/>
    <mergeCell ref="A1062:U1062"/>
    <mergeCell ref="A1084:B1084"/>
    <mergeCell ref="A1117:U1117"/>
    <mergeCell ref="A1121:B1121"/>
    <mergeCell ref="A1122:U1122"/>
    <mergeCell ref="A1111:U1111"/>
    <mergeCell ref="A1116:B1116"/>
    <mergeCell ref="A1146:C1146"/>
    <mergeCell ref="A1142:B1142"/>
    <mergeCell ref="A1194:I1194"/>
    <mergeCell ref="A1195:I1195"/>
    <mergeCell ref="B4:H4"/>
    <mergeCell ref="A1043:B1043"/>
    <mergeCell ref="A1192:I1192"/>
    <mergeCell ref="A1190:I1190"/>
    <mergeCell ref="A1179:U1179"/>
    <mergeCell ref="A1186:B1186"/>
    <mergeCell ref="A1188:S1188"/>
    <mergeCell ref="A1189:U1189"/>
    <mergeCell ref="A1187:B1187"/>
    <mergeCell ref="A1191:I1191"/>
    <mergeCell ref="A1148:U1148"/>
    <mergeCell ref="A1153:B1153"/>
    <mergeCell ref="A1154:B1154"/>
    <mergeCell ref="A1155:U1155"/>
    <mergeCell ref="A1177:B1177"/>
    <mergeCell ref="A1178:U1178"/>
    <mergeCell ref="A1127:U1127"/>
    <mergeCell ref="A1131:B1131"/>
    <mergeCell ref="A1132:U1132"/>
    <mergeCell ref="A1139:B1139"/>
    <mergeCell ref="A1147:U1147"/>
    <mergeCell ref="A977:U977"/>
  </mergeCells>
  <phoneticPr fontId="12" type="noConversion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 differentFirst="1">
    <oddHeader>&amp;C&amp;18&amp;P</oddHeader>
  </headerFooter>
  <ignoredErrors>
    <ignoredError sqref="P396:Q396 K222 I222" formula="1"/>
    <ignoredError sqref="C11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ИТОГ 2020-2022</vt:lpstr>
      <vt:lpstr>Лист1</vt:lpstr>
      <vt:lpstr>Лист2</vt:lpstr>
      <vt:lpstr>Лист3</vt:lpstr>
      <vt:lpstr>'ИТОГ 2020-2022'!Область_печати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2025-09-15T06:17:18Z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{CE3CD9D5-AD08-4014-9416-4C17DCF79077}</vt:lpwstr>
  </property>
  <property fmtid="{D5CDD505-2E9C-101B-9397-08002B2CF9AE}" pid="3" name="#RegDocId">
    <vt:lpwstr>Вн. Постановление Правительства № Вр-4657600</vt:lpwstr>
  </property>
  <property fmtid="{D5CDD505-2E9C-101B-9397-08002B2CF9AE}" pid="4" name="FileDocId">
    <vt:lpwstr>{CEEF0DF9-1F20-4DC0-9665-870D06E5A359}</vt:lpwstr>
  </property>
  <property fmtid="{D5CDD505-2E9C-101B-9397-08002B2CF9AE}" pid="5" name="#FileDocId">
    <vt:lpwstr>Приложение к постановлению.xlsx</vt:lpwstr>
  </property>
</Properties>
</file>