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6440"/>
  </bookViews>
  <sheets>
    <sheet name="2023-2025" sheetId="1" r:id="rId1"/>
  </sheets>
  <definedNames>
    <definedName name="_xlnm._FilterDatabase" localSheetId="0" hidden="1">'2023-2025'!$A$57:$AG$1525</definedName>
    <definedName name="_xlnm.Print_Area" localSheetId="0">'2023-2025'!$A$1:$AE$1538</definedName>
  </definedNames>
  <calcPr calcId="124519" iterateDelta="1E-4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24" i="1"/>
  <c r="E1524"/>
  <c r="F1524"/>
  <c r="G1524"/>
  <c r="H1524"/>
  <c r="I1524"/>
  <c r="J1524"/>
  <c r="K1524"/>
  <c r="L1524"/>
  <c r="M1524"/>
  <c r="N1524"/>
  <c r="O1524"/>
  <c r="P1524"/>
  <c r="Q1524"/>
  <c r="R1524"/>
  <c r="S1524"/>
  <c r="T1524"/>
  <c r="U1524"/>
  <c r="V1524"/>
  <c r="W1524"/>
  <c r="X1524"/>
  <c r="Y1524"/>
  <c r="Z1524"/>
  <c r="AA1524"/>
  <c r="AB1524"/>
  <c r="AC1524"/>
  <c r="C1524"/>
  <c r="Z1523"/>
  <c r="C1523"/>
  <c r="A1523"/>
  <c r="S1435"/>
  <c r="Q1435"/>
  <c r="M1435"/>
  <c r="C1435" s="1"/>
  <c r="AB1435" s="1"/>
  <c r="V1434"/>
  <c r="M1434"/>
  <c r="C1434"/>
  <c r="AB1434" s="1"/>
  <c r="V1432"/>
  <c r="I1432"/>
  <c r="C1432"/>
  <c r="AB1432" s="1"/>
  <c r="C1345"/>
  <c r="AB1345" s="1"/>
  <c r="C1287"/>
  <c r="Z1287" s="1"/>
  <c r="C1285"/>
  <c r="Z1285" s="1"/>
  <c r="C1281"/>
  <c r="AB1281" s="1"/>
  <c r="M1272"/>
  <c r="C1272" s="1"/>
  <c r="AB1272" s="1"/>
  <c r="R1270"/>
  <c r="L1270"/>
  <c r="I1270"/>
  <c r="C1270" s="1"/>
  <c r="AB1270" s="1"/>
  <c r="C1255"/>
  <c r="AB1255" s="1"/>
  <c r="S1238"/>
  <c r="R1238"/>
  <c r="M1238"/>
  <c r="C1238" s="1"/>
  <c r="AB1238" s="1"/>
  <c r="M1184"/>
  <c r="C1184" s="1"/>
  <c r="AB1184" s="1"/>
  <c r="L1146"/>
  <c r="I1146"/>
  <c r="H1146"/>
  <c r="G1146"/>
  <c r="D1146"/>
  <c r="C1146" s="1"/>
  <c r="AB1146" s="1"/>
  <c r="I1108"/>
  <c r="C1108" s="1"/>
  <c r="AB1108" s="1"/>
  <c r="V1099"/>
  <c r="S1099"/>
  <c r="R1099"/>
  <c r="Q1099"/>
  <c r="I1099"/>
  <c r="H1099"/>
  <c r="G1099"/>
  <c r="D1099"/>
  <c r="C1099"/>
  <c r="AB1099" s="1"/>
  <c r="A1099"/>
  <c r="C1008"/>
  <c r="Z1008" s="1"/>
  <c r="Z987"/>
  <c r="Y987"/>
  <c r="W987"/>
  <c r="V987"/>
  <c r="R987"/>
  <c r="C987" s="1"/>
  <c r="AB987" s="1"/>
  <c r="Z986"/>
  <c r="Y986"/>
  <c r="R986"/>
  <c r="C986" s="1"/>
  <c r="AB986" s="1"/>
  <c r="C639"/>
  <c r="AB639" s="1"/>
  <c r="C574"/>
  <c r="Z574" s="1"/>
  <c r="M566"/>
  <c r="C566"/>
  <c r="AB566" s="1"/>
  <c r="Z564"/>
  <c r="W564"/>
  <c r="V564"/>
  <c r="M564"/>
  <c r="C564"/>
  <c r="AB564" s="1"/>
  <c r="W548"/>
  <c r="C548" s="1"/>
  <c r="Z548" s="1"/>
  <c r="W547"/>
  <c r="C547" s="1"/>
  <c r="Z547" s="1"/>
  <c r="S507"/>
  <c r="R507"/>
  <c r="M507"/>
  <c r="C507" s="1"/>
  <c r="AB507" s="1"/>
  <c r="K30"/>
  <c r="F30"/>
  <c r="C30"/>
  <c r="AB30" s="1"/>
  <c r="D1467" l="1"/>
  <c r="E1467"/>
  <c r="F1467"/>
  <c r="G1467"/>
  <c r="H1467"/>
  <c r="I1467"/>
  <c r="J1467"/>
  <c r="K1467"/>
  <c r="L1467"/>
  <c r="M1467"/>
  <c r="N1467"/>
  <c r="O1467"/>
  <c r="P1467"/>
  <c r="Q1467"/>
  <c r="R1467"/>
  <c r="S1467"/>
  <c r="T1467"/>
  <c r="U1467"/>
  <c r="X1467"/>
  <c r="AA1467"/>
  <c r="AC1467"/>
  <c r="Z1463"/>
  <c r="Y1463"/>
  <c r="W1463"/>
  <c r="W1467" s="1"/>
  <c r="V1463"/>
  <c r="C1463"/>
  <c r="AB1463" s="1"/>
  <c r="Z1462"/>
  <c r="Y1462"/>
  <c r="W1462"/>
  <c r="V1462"/>
  <c r="V1467" s="1"/>
  <c r="F1448"/>
  <c r="C1448" s="1"/>
  <c r="AB1448" s="1"/>
  <c r="W1447"/>
  <c r="V1447"/>
  <c r="C1446"/>
  <c r="Z1446" s="1"/>
  <c r="C1445"/>
  <c r="Z1445" s="1"/>
  <c r="C1444"/>
  <c r="Z1444" s="1"/>
  <c r="C1443"/>
  <c r="Z1443" s="1"/>
  <c r="C1442"/>
  <c r="Z1442" s="1"/>
  <c r="C1440"/>
  <c r="Z1440" s="1"/>
  <c r="C1439"/>
  <c r="Z1439" s="1"/>
  <c r="W1437"/>
  <c r="V1437"/>
  <c r="C1437"/>
  <c r="AB1437" s="1"/>
  <c r="V1433"/>
  <c r="S1433"/>
  <c r="Q1433"/>
  <c r="W1429"/>
  <c r="V1429"/>
  <c r="C1429"/>
  <c r="AB1429" s="1"/>
  <c r="Z1400"/>
  <c r="Y1400"/>
  <c r="W1400"/>
  <c r="V1400"/>
  <c r="R1400"/>
  <c r="C1400"/>
  <c r="AB1400" s="1"/>
  <c r="Z1393"/>
  <c r="Y1393"/>
  <c r="W1393"/>
  <c r="V1393"/>
  <c r="C1393" s="1"/>
  <c r="AB1393" s="1"/>
  <c r="Z1383"/>
  <c r="Y1383"/>
  <c r="W1383"/>
  <c r="V1383"/>
  <c r="Z1374"/>
  <c r="Y1374"/>
  <c r="W1374"/>
  <c r="V1374"/>
  <c r="C1374" s="1"/>
  <c r="AB1374" s="1"/>
  <c r="C1373"/>
  <c r="AB1373" s="1"/>
  <c r="C1372"/>
  <c r="AB1372" s="1"/>
  <c r="C1375"/>
  <c r="Y1375" s="1"/>
  <c r="C1376"/>
  <c r="Y1376" s="1"/>
  <c r="C1377"/>
  <c r="AB1377" s="1"/>
  <c r="W1371"/>
  <c r="V1371"/>
  <c r="E1315"/>
  <c r="F1315"/>
  <c r="J1315"/>
  <c r="K1315"/>
  <c r="M1315"/>
  <c r="N1315"/>
  <c r="O1315"/>
  <c r="P1315"/>
  <c r="T1315"/>
  <c r="X1315"/>
  <c r="AA1315"/>
  <c r="AC1315"/>
  <c r="C1314"/>
  <c r="AB1314" s="1"/>
  <c r="W1308"/>
  <c r="C1308" s="1"/>
  <c r="AB1308" s="1"/>
  <c r="Z1302"/>
  <c r="Y1302"/>
  <c r="W1302"/>
  <c r="V1302"/>
  <c r="C1302" s="1"/>
  <c r="AB1302" s="1"/>
  <c r="E1292"/>
  <c r="F1292"/>
  <c r="J1292"/>
  <c r="K1292"/>
  <c r="N1292"/>
  <c r="T1292"/>
  <c r="U1292"/>
  <c r="X1292"/>
  <c r="Y1292"/>
  <c r="AA1292"/>
  <c r="AC1292"/>
  <c r="C1291"/>
  <c r="Z1291" s="1"/>
  <c r="C1290"/>
  <c r="Z1290" s="1"/>
  <c r="C1289"/>
  <c r="Z1289" s="1"/>
  <c r="W1288"/>
  <c r="C1288" s="1"/>
  <c r="Z1288" s="1"/>
  <c r="W1284"/>
  <c r="V1284"/>
  <c r="C1284" s="1"/>
  <c r="Z1284" s="1"/>
  <c r="V1280"/>
  <c r="P1280"/>
  <c r="W1277"/>
  <c r="V1277"/>
  <c r="C1266"/>
  <c r="AB1266" s="1"/>
  <c r="W1249"/>
  <c r="V1249"/>
  <c r="C1246"/>
  <c r="Z1246" s="1"/>
  <c r="C1245"/>
  <c r="Z1245" s="1"/>
  <c r="C1244"/>
  <c r="Z1244" s="1"/>
  <c r="W1243"/>
  <c r="V1243"/>
  <c r="W1242"/>
  <c r="V1242"/>
  <c r="W1241"/>
  <c r="V1241"/>
  <c r="C1240"/>
  <c r="Z1240" s="1"/>
  <c r="W1239"/>
  <c r="V1239"/>
  <c r="W1220"/>
  <c r="V1220"/>
  <c r="W1214"/>
  <c r="V1214"/>
  <c r="C1151"/>
  <c r="AB1151" s="1"/>
  <c r="C1150"/>
  <c r="AB1150" s="1"/>
  <c r="W1197"/>
  <c r="V1197"/>
  <c r="W1196"/>
  <c r="V1196"/>
  <c r="W1195"/>
  <c r="V1195"/>
  <c r="W1194"/>
  <c r="V1194"/>
  <c r="W1193"/>
  <c r="C1193" s="1"/>
  <c r="Z1193" s="1"/>
  <c r="V1193"/>
  <c r="W1188"/>
  <c r="V1188"/>
  <c r="C1188"/>
  <c r="Z1188" s="1"/>
  <c r="C1185"/>
  <c r="Z1185" s="1"/>
  <c r="C1186"/>
  <c r="AB1186" s="1"/>
  <c r="W1180"/>
  <c r="V1180"/>
  <c r="C1180" s="1"/>
  <c r="Z1180" s="1"/>
  <c r="V1156"/>
  <c r="I1156"/>
  <c r="W1156" s="1"/>
  <c r="W1155"/>
  <c r="V1155"/>
  <c r="W1154"/>
  <c r="V1154"/>
  <c r="C1144"/>
  <c r="AB1144" s="1"/>
  <c r="W1142"/>
  <c r="V1142"/>
  <c r="C1138"/>
  <c r="AB1138" s="1"/>
  <c r="C1051"/>
  <c r="Z1051" s="1"/>
  <c r="C1018"/>
  <c r="Z1018" s="1"/>
  <c r="Z810"/>
  <c r="Y810"/>
  <c r="W810"/>
  <c r="V810"/>
  <c r="R810"/>
  <c r="C802"/>
  <c r="Z802" s="1"/>
  <c r="Z785"/>
  <c r="Y785"/>
  <c r="W785"/>
  <c r="V785"/>
  <c r="C785" s="1"/>
  <c r="AB785" s="1"/>
  <c r="Z779"/>
  <c r="Y779"/>
  <c r="W779"/>
  <c r="V779"/>
  <c r="C779" s="1"/>
  <c r="AB779" s="1"/>
  <c r="Z778"/>
  <c r="Y778"/>
  <c r="W778"/>
  <c r="V778"/>
  <c r="Z777"/>
  <c r="Y777"/>
  <c r="W777"/>
  <c r="V777"/>
  <c r="C770"/>
  <c r="Z770" s="1"/>
  <c r="C764"/>
  <c r="Z764" s="1"/>
  <c r="V762"/>
  <c r="C762" s="1"/>
  <c r="Z762" s="1"/>
  <c r="C760"/>
  <c r="Z760" s="1"/>
  <c r="C759"/>
  <c r="Z759" s="1"/>
  <c r="C758"/>
  <c r="Z758" s="1"/>
  <c r="C757"/>
  <c r="Z757" s="1"/>
  <c r="C753"/>
  <c r="Z753" s="1"/>
  <c r="C752"/>
  <c r="Z752" s="1"/>
  <c r="C749"/>
  <c r="Z749" s="1"/>
  <c r="Z736"/>
  <c r="Y736"/>
  <c r="W736"/>
  <c r="U736"/>
  <c r="C735"/>
  <c r="Z735" s="1"/>
  <c r="Z734"/>
  <c r="Y734"/>
  <c r="W734"/>
  <c r="U734"/>
  <c r="Z733"/>
  <c r="Y733"/>
  <c r="W733"/>
  <c r="U733"/>
  <c r="Z695"/>
  <c r="Y695"/>
  <c r="W695"/>
  <c r="V695"/>
  <c r="R695"/>
  <c r="C695" s="1"/>
  <c r="AB695" s="1"/>
  <c r="Z685"/>
  <c r="Y685"/>
  <c r="C685"/>
  <c r="Z684"/>
  <c r="Y684"/>
  <c r="U684"/>
  <c r="C684" s="1"/>
  <c r="C658"/>
  <c r="Z658" s="1"/>
  <c r="C608"/>
  <c r="Z608" s="1"/>
  <c r="V607"/>
  <c r="C607" s="1"/>
  <c r="Z607" s="1"/>
  <c r="C604"/>
  <c r="Z604" s="1"/>
  <c r="C590"/>
  <c r="Z590" s="1"/>
  <c r="C511"/>
  <c r="Z511" s="1"/>
  <c r="C482"/>
  <c r="Z482" s="1"/>
  <c r="C481"/>
  <c r="Z481" s="1"/>
  <c r="C479"/>
  <c r="Z479" s="1"/>
  <c r="C181"/>
  <c r="Z181" s="1"/>
  <c r="O1152"/>
  <c r="C1152" s="1"/>
  <c r="Z1152" s="1"/>
  <c r="O1274"/>
  <c r="C1274" s="1"/>
  <c r="Z1274" s="1"/>
  <c r="O1256"/>
  <c r="C1256" s="1"/>
  <c r="Z1256" s="1"/>
  <c r="O1230"/>
  <c r="C1230" s="1"/>
  <c r="Z1230" s="1"/>
  <c r="O1229"/>
  <c r="C1229" s="1"/>
  <c r="Z1229" s="1"/>
  <c r="O1228"/>
  <c r="C1228" s="1"/>
  <c r="Z1228" s="1"/>
  <c r="O1227"/>
  <c r="C1227" s="1"/>
  <c r="Z1227" s="1"/>
  <c r="O1226"/>
  <c r="C1226" s="1"/>
  <c r="Z1226" s="1"/>
  <c r="O1225"/>
  <c r="C1225" s="1"/>
  <c r="Z1225" s="1"/>
  <c r="O1224"/>
  <c r="C1224" s="1"/>
  <c r="Z1224" s="1"/>
  <c r="O1206"/>
  <c r="C1206" s="1"/>
  <c r="Z1206" s="1"/>
  <c r="O1205"/>
  <c r="C1205" s="1"/>
  <c r="Z1205" s="1"/>
  <c r="O1204"/>
  <c r="C1204" s="1"/>
  <c r="Z1204" s="1"/>
  <c r="O1203"/>
  <c r="C1203" s="1"/>
  <c r="Z1203" s="1"/>
  <c r="O1202"/>
  <c r="C1202" s="1"/>
  <c r="Z1202" s="1"/>
  <c r="O1201"/>
  <c r="C1201" s="1"/>
  <c r="Z1201" s="1"/>
  <c r="O1200"/>
  <c r="C1200" s="1"/>
  <c r="Z1200" s="1"/>
  <c r="O1177"/>
  <c r="C1177" s="1"/>
  <c r="Z1177" s="1"/>
  <c r="O1176"/>
  <c r="C1176" s="1"/>
  <c r="Z1176" s="1"/>
  <c r="O1175"/>
  <c r="C1175" s="1"/>
  <c r="Z1175" s="1"/>
  <c r="O1174"/>
  <c r="C1174" s="1"/>
  <c r="Z1174" s="1"/>
  <c r="O1173"/>
  <c r="C1173" s="1"/>
  <c r="Z1173" s="1"/>
  <c r="O1163"/>
  <c r="C1163" s="1"/>
  <c r="Z1163" s="1"/>
  <c r="O1162"/>
  <c r="C1162" s="1"/>
  <c r="Z1162" s="1"/>
  <c r="O1161"/>
  <c r="C1161" s="1"/>
  <c r="Z1161" s="1"/>
  <c r="O1160"/>
  <c r="C1160" s="1"/>
  <c r="Z1160" s="1"/>
  <c r="C1220" l="1"/>
  <c r="Z1220" s="1"/>
  <c r="C1277"/>
  <c r="Z1277" s="1"/>
  <c r="C1371"/>
  <c r="AB1371" s="1"/>
  <c r="W1433"/>
  <c r="C1433" s="1"/>
  <c r="AB1433" s="1"/>
  <c r="C1447"/>
  <c r="Z1447" s="1"/>
  <c r="C1462"/>
  <c r="C733"/>
  <c r="C734"/>
  <c r="C1155"/>
  <c r="Z1155" s="1"/>
  <c r="C1195"/>
  <c r="Z1195" s="1"/>
  <c r="C1196"/>
  <c r="Z1196" s="1"/>
  <c r="C1214"/>
  <c r="Z1214" s="1"/>
  <c r="C1249"/>
  <c r="Z1249" s="1"/>
  <c r="C1383"/>
  <c r="AB1383" s="1"/>
  <c r="Z1376"/>
  <c r="Z1375"/>
  <c r="C1241"/>
  <c r="Z1241" s="1"/>
  <c r="C1243"/>
  <c r="Z1243" s="1"/>
  <c r="W1280"/>
  <c r="C1280" s="1"/>
  <c r="Z1280" s="1"/>
  <c r="C1154"/>
  <c r="Z1154" s="1"/>
  <c r="C1194"/>
  <c r="Z1194" s="1"/>
  <c r="C1197"/>
  <c r="Z1197" s="1"/>
  <c r="C1239"/>
  <c r="Z1239" s="1"/>
  <c r="C1242"/>
  <c r="Z1242" s="1"/>
  <c r="C1156"/>
  <c r="Z1156" s="1"/>
  <c r="C736"/>
  <c r="C777"/>
  <c r="AB777" s="1"/>
  <c r="C778"/>
  <c r="AB778" s="1"/>
  <c r="C810"/>
  <c r="AB810" s="1"/>
  <c r="C1142"/>
  <c r="Z1142" s="1"/>
  <c r="Y658"/>
  <c r="Y735"/>
  <c r="Y802"/>
  <c r="Y1051"/>
  <c r="Y752"/>
  <c r="Y753"/>
  <c r="Y770"/>
  <c r="Y479"/>
  <c r="Y749"/>
  <c r="Y757"/>
  <c r="Y758"/>
  <c r="Y759"/>
  <c r="Y760"/>
  <c r="Y764"/>
  <c r="Y1018"/>
  <c r="Y762"/>
  <c r="Y481"/>
  <c r="Y482"/>
  <c r="AB181"/>
  <c r="D1403"/>
  <c r="E1403"/>
  <c r="F1403"/>
  <c r="G1403"/>
  <c r="H1403"/>
  <c r="I1403"/>
  <c r="J1403"/>
  <c r="K1403"/>
  <c r="L1403"/>
  <c r="M1403"/>
  <c r="N1403"/>
  <c r="O1403"/>
  <c r="P1403"/>
  <c r="Q1403"/>
  <c r="R1403"/>
  <c r="S1403"/>
  <c r="T1403"/>
  <c r="U1403"/>
  <c r="X1403"/>
  <c r="AA1403"/>
  <c r="AC1403"/>
  <c r="C1401"/>
  <c r="Z1401" s="1"/>
  <c r="C1399"/>
  <c r="Z1399" s="1"/>
  <c r="O1328"/>
  <c r="W1328" s="1"/>
  <c r="AB1462" l="1"/>
  <c r="AB1467" s="1"/>
  <c r="C1328"/>
  <c r="Z1328" s="1"/>
  <c r="W1250" l="1"/>
  <c r="V1250"/>
  <c r="V1248"/>
  <c r="C1248" s="1"/>
  <c r="Z1248" s="1"/>
  <c r="W1247"/>
  <c r="V1247"/>
  <c r="C1247" l="1"/>
  <c r="Z1247" s="1"/>
  <c r="C1250"/>
  <c r="Z1250" s="1"/>
  <c r="F1424"/>
  <c r="C1424" s="1"/>
  <c r="AB1424" s="1"/>
  <c r="E37"/>
  <c r="F37"/>
  <c r="J37"/>
  <c r="L37"/>
  <c r="M37"/>
  <c r="N37"/>
  <c r="O37"/>
  <c r="P37"/>
  <c r="R37"/>
  <c r="T37"/>
  <c r="U37"/>
  <c r="V37"/>
  <c r="X37"/>
  <c r="Y37"/>
  <c r="AA37"/>
  <c r="AC37"/>
  <c r="W1521"/>
  <c r="C1521" s="1"/>
  <c r="AB1521" s="1"/>
  <c r="D1514"/>
  <c r="E1514"/>
  <c r="F1514"/>
  <c r="G1514"/>
  <c r="H1514"/>
  <c r="I1514"/>
  <c r="J1514"/>
  <c r="K1514"/>
  <c r="L1514"/>
  <c r="M1514"/>
  <c r="N1514"/>
  <c r="Q1514"/>
  <c r="R1514"/>
  <c r="S1514"/>
  <c r="T1514"/>
  <c r="U1514"/>
  <c r="V1514"/>
  <c r="X1514"/>
  <c r="Y1514"/>
  <c r="Z1514"/>
  <c r="AA1514"/>
  <c r="AC1514"/>
  <c r="C1513"/>
  <c r="AB1513" s="1"/>
  <c r="C1512"/>
  <c r="AB1512" s="1"/>
  <c r="C1511"/>
  <c r="AB1511" s="1"/>
  <c r="C1509"/>
  <c r="AB1509" s="1"/>
  <c r="C1508"/>
  <c r="AB1508" s="1"/>
  <c r="W1501"/>
  <c r="C1501" s="1"/>
  <c r="AB1501" s="1"/>
  <c r="W1500"/>
  <c r="C1500" s="1"/>
  <c r="AB1500" s="1"/>
  <c r="D1492"/>
  <c r="E1492"/>
  <c r="F1492"/>
  <c r="G1492"/>
  <c r="H1492"/>
  <c r="I1492"/>
  <c r="J1492"/>
  <c r="K1492"/>
  <c r="L1492"/>
  <c r="M1492"/>
  <c r="N1492"/>
  <c r="O1492"/>
  <c r="P1492"/>
  <c r="Q1492"/>
  <c r="R1492"/>
  <c r="S1492"/>
  <c r="T1492"/>
  <c r="U1492"/>
  <c r="X1492"/>
  <c r="Y1492"/>
  <c r="Z1492"/>
  <c r="AA1492"/>
  <c r="AC1492"/>
  <c r="W1491"/>
  <c r="C1491" s="1"/>
  <c r="AB1491" s="1"/>
  <c r="W1488"/>
  <c r="C1488" s="1"/>
  <c r="AB1488" s="1"/>
  <c r="W1487"/>
  <c r="C1487" s="1"/>
  <c r="AB1487" s="1"/>
  <c r="W1486"/>
  <c r="V1486"/>
  <c r="V1492" s="1"/>
  <c r="W1485"/>
  <c r="C1485" s="1"/>
  <c r="AB1485" s="1"/>
  <c r="E1478"/>
  <c r="F1478"/>
  <c r="J1478"/>
  <c r="K1478"/>
  <c r="M1478"/>
  <c r="N1478"/>
  <c r="O1478"/>
  <c r="P1478"/>
  <c r="Q1478"/>
  <c r="R1478"/>
  <c r="S1478"/>
  <c r="T1478"/>
  <c r="U1478"/>
  <c r="V1478"/>
  <c r="X1478"/>
  <c r="Y1478"/>
  <c r="Z1478"/>
  <c r="AA1478"/>
  <c r="AC1478"/>
  <c r="W1474"/>
  <c r="C1474" s="1"/>
  <c r="AB1474" s="1"/>
  <c r="W1471"/>
  <c r="C1471" s="1"/>
  <c r="AB1471" s="1"/>
  <c r="W1470"/>
  <c r="C1470" s="1"/>
  <c r="AB1470" s="1"/>
  <c r="W1469"/>
  <c r="C1469" s="1"/>
  <c r="AB1469" s="1"/>
  <c r="V1458"/>
  <c r="G1458"/>
  <c r="D1458"/>
  <c r="W1457"/>
  <c r="C1457" s="1"/>
  <c r="AB1457" s="1"/>
  <c r="E1453"/>
  <c r="J1453"/>
  <c r="K1453"/>
  <c r="N1453"/>
  <c r="O1453"/>
  <c r="R1453"/>
  <c r="T1453"/>
  <c r="U1453"/>
  <c r="X1453"/>
  <c r="Y1453"/>
  <c r="Z1453"/>
  <c r="AA1453"/>
  <c r="AC1453"/>
  <c r="W1452"/>
  <c r="C1452" s="1"/>
  <c r="AB1452" s="1"/>
  <c r="W1451"/>
  <c r="C1451" s="1"/>
  <c r="AB1451" s="1"/>
  <c r="C1449"/>
  <c r="AB1449" s="1"/>
  <c r="C1441"/>
  <c r="AB1441" s="1"/>
  <c r="C1438"/>
  <c r="AB1438" s="1"/>
  <c r="W1436"/>
  <c r="C1436" s="1"/>
  <c r="AB1436" s="1"/>
  <c r="W1431"/>
  <c r="V1431"/>
  <c r="C1430"/>
  <c r="AB1430" s="1"/>
  <c r="W1428"/>
  <c r="C1428" s="1"/>
  <c r="AB1428" s="1"/>
  <c r="C1427"/>
  <c r="AB1427" s="1"/>
  <c r="V1426"/>
  <c r="L1426"/>
  <c r="L1453" s="1"/>
  <c r="I1426"/>
  <c r="H1426"/>
  <c r="H1453" s="1"/>
  <c r="G1426"/>
  <c r="G1453" s="1"/>
  <c r="D1426"/>
  <c r="C1423"/>
  <c r="AB1423" s="1"/>
  <c r="W1422"/>
  <c r="C1422" s="1"/>
  <c r="AB1422" s="1"/>
  <c r="C1421"/>
  <c r="AB1421" s="1"/>
  <c r="C1420"/>
  <c r="AB1420" s="1"/>
  <c r="C1419"/>
  <c r="AB1419" s="1"/>
  <c r="C1418"/>
  <c r="AB1418" s="1"/>
  <c r="W1417"/>
  <c r="C1417" s="1"/>
  <c r="AB1417" s="1"/>
  <c r="W1416"/>
  <c r="C1416" s="1"/>
  <c r="AB1416" s="1"/>
  <c r="C1415"/>
  <c r="AB1415" s="1"/>
  <c r="C1414"/>
  <c r="AB1414" s="1"/>
  <c r="C1413"/>
  <c r="AB1413" s="1"/>
  <c r="F1391"/>
  <c r="C1391" s="1"/>
  <c r="AB1391" s="1"/>
  <c r="C1384"/>
  <c r="AB1384" s="1"/>
  <c r="C1382"/>
  <c r="AB1382" s="1"/>
  <c r="C1380"/>
  <c r="AB1380" s="1"/>
  <c r="C1378"/>
  <c r="AB1378" s="1"/>
  <c r="E1369"/>
  <c r="F1369"/>
  <c r="H1369"/>
  <c r="J1369"/>
  <c r="K1369"/>
  <c r="M1369"/>
  <c r="N1369"/>
  <c r="O1369"/>
  <c r="P1369"/>
  <c r="Q1369"/>
  <c r="S1369"/>
  <c r="T1369"/>
  <c r="X1369"/>
  <c r="Y1369"/>
  <c r="AA1369"/>
  <c r="AC1369"/>
  <c r="U1368"/>
  <c r="C1368" s="1"/>
  <c r="Z1368" s="1"/>
  <c r="U1367"/>
  <c r="C1367" s="1"/>
  <c r="Z1367" s="1"/>
  <c r="U1366"/>
  <c r="C1366" s="1"/>
  <c r="Z1366" s="1"/>
  <c r="U1365"/>
  <c r="C1365" s="1"/>
  <c r="Z1365" s="1"/>
  <c r="U1364"/>
  <c r="C1364" s="1"/>
  <c r="Z1364" s="1"/>
  <c r="U1363"/>
  <c r="C1363" s="1"/>
  <c r="Z1363" s="1"/>
  <c r="U1362"/>
  <c r="C1362" s="1"/>
  <c r="Z1362" s="1"/>
  <c r="U1361"/>
  <c r="C1361" s="1"/>
  <c r="Z1361" s="1"/>
  <c r="U1360"/>
  <c r="C1360" s="1"/>
  <c r="Z1360" s="1"/>
  <c r="U1359"/>
  <c r="C1359" s="1"/>
  <c r="Z1359" s="1"/>
  <c r="U1358"/>
  <c r="C1358" s="1"/>
  <c r="Z1358" s="1"/>
  <c r="U1357"/>
  <c r="C1357" s="1"/>
  <c r="Z1357" s="1"/>
  <c r="U1356"/>
  <c r="C1356" s="1"/>
  <c r="Z1356" s="1"/>
  <c r="U1355"/>
  <c r="C1355" s="1"/>
  <c r="Z1355" s="1"/>
  <c r="U1354"/>
  <c r="C1354" s="1"/>
  <c r="Z1354" s="1"/>
  <c r="U1353"/>
  <c r="C1353" s="1"/>
  <c r="Z1353" s="1"/>
  <c r="U1352"/>
  <c r="C1352" s="1"/>
  <c r="Z1352" s="1"/>
  <c r="U1351"/>
  <c r="C1351" s="1"/>
  <c r="Z1351" s="1"/>
  <c r="U1350"/>
  <c r="C1350" s="1"/>
  <c r="Z1350" s="1"/>
  <c r="U1349"/>
  <c r="C1349" s="1"/>
  <c r="Z1349" s="1"/>
  <c r="U1348"/>
  <c r="C1348" s="1"/>
  <c r="Z1348" s="1"/>
  <c r="U1347"/>
  <c r="C1347" s="1"/>
  <c r="Z1347" s="1"/>
  <c r="U1346"/>
  <c r="C1346" s="1"/>
  <c r="U1344"/>
  <c r="C1344" s="1"/>
  <c r="Z1344" s="1"/>
  <c r="U1343"/>
  <c r="C1343" s="1"/>
  <c r="Z1343" s="1"/>
  <c r="U1342"/>
  <c r="C1342" s="1"/>
  <c r="Z1342" s="1"/>
  <c r="U1341"/>
  <c r="C1341" s="1"/>
  <c r="Z1341" s="1"/>
  <c r="U1340"/>
  <c r="C1340" s="1"/>
  <c r="Z1340" s="1"/>
  <c r="U1339"/>
  <c r="C1339" s="1"/>
  <c r="Z1339" s="1"/>
  <c r="R1338"/>
  <c r="W1338" s="1"/>
  <c r="W1337"/>
  <c r="C1337" s="1"/>
  <c r="AB1337" s="1"/>
  <c r="W1336"/>
  <c r="C1336" s="1"/>
  <c r="AB1336" s="1"/>
  <c r="W1335"/>
  <c r="V1335"/>
  <c r="L1335"/>
  <c r="I1335"/>
  <c r="W1334"/>
  <c r="C1334" s="1"/>
  <c r="AB1334" s="1"/>
  <c r="C1333"/>
  <c r="AB1333" s="1"/>
  <c r="W1332"/>
  <c r="V1332"/>
  <c r="R1332"/>
  <c r="W1331"/>
  <c r="C1331" s="1"/>
  <c r="AB1331" s="1"/>
  <c r="W1330"/>
  <c r="C1330" s="1"/>
  <c r="AB1330" s="1"/>
  <c r="W1329"/>
  <c r="C1329" s="1"/>
  <c r="AB1329" s="1"/>
  <c r="W1327"/>
  <c r="C1327" s="1"/>
  <c r="AB1327" s="1"/>
  <c r="W1326"/>
  <c r="C1326" s="1"/>
  <c r="AB1326" s="1"/>
  <c r="R1325"/>
  <c r="W1325" s="1"/>
  <c r="W1324"/>
  <c r="V1324"/>
  <c r="L1324"/>
  <c r="I1324"/>
  <c r="I1369" s="1"/>
  <c r="G1324"/>
  <c r="G1369" s="1"/>
  <c r="D1324"/>
  <c r="W1323"/>
  <c r="C1323" s="1"/>
  <c r="AB1323" s="1"/>
  <c r="AC1321"/>
  <c r="AA1321"/>
  <c r="Z1321"/>
  <c r="Y1321"/>
  <c r="X1321"/>
  <c r="U1321"/>
  <c r="T1321"/>
  <c r="S1321"/>
  <c r="R1321"/>
  <c r="Q1321"/>
  <c r="P1321"/>
  <c r="O1321"/>
  <c r="N1321"/>
  <c r="M1321"/>
  <c r="L1321"/>
  <c r="K1321"/>
  <c r="J1321"/>
  <c r="I1321"/>
  <c r="H1321"/>
  <c r="G1321"/>
  <c r="F1321"/>
  <c r="E1321"/>
  <c r="D1321"/>
  <c r="W1320"/>
  <c r="V1320"/>
  <c r="W1319"/>
  <c r="V1319"/>
  <c r="W1318"/>
  <c r="V1318"/>
  <c r="C1317"/>
  <c r="W1300"/>
  <c r="V1300"/>
  <c r="L1300"/>
  <c r="L1315" s="1"/>
  <c r="I1300"/>
  <c r="I1315" s="1"/>
  <c r="H1300"/>
  <c r="H1315" s="1"/>
  <c r="G1300"/>
  <c r="G1315" s="1"/>
  <c r="D1300"/>
  <c r="D1315" s="1"/>
  <c r="C1299"/>
  <c r="AB1299" s="1"/>
  <c r="W1298"/>
  <c r="W1315" s="1"/>
  <c r="V1298"/>
  <c r="V1315" s="1"/>
  <c r="R1298"/>
  <c r="Q1298"/>
  <c r="W1286"/>
  <c r="C1286" s="1"/>
  <c r="AB1286" s="1"/>
  <c r="W1282"/>
  <c r="V1282"/>
  <c r="W1279"/>
  <c r="C1279" s="1"/>
  <c r="AB1279" s="1"/>
  <c r="V1276"/>
  <c r="S1276"/>
  <c r="R1276"/>
  <c r="V1275"/>
  <c r="S1275"/>
  <c r="R1275"/>
  <c r="W1273"/>
  <c r="C1273" s="1"/>
  <c r="AB1273" s="1"/>
  <c r="V1271"/>
  <c r="L1271"/>
  <c r="I1271"/>
  <c r="H1271"/>
  <c r="G1271"/>
  <c r="D1271"/>
  <c r="W1267"/>
  <c r="C1267" s="1"/>
  <c r="AB1267" s="1"/>
  <c r="W1265"/>
  <c r="V1265"/>
  <c r="V1263"/>
  <c r="R1263"/>
  <c r="W1263" s="1"/>
  <c r="C1262"/>
  <c r="AB1262" s="1"/>
  <c r="V1261"/>
  <c r="S1261"/>
  <c r="R1261"/>
  <c r="Q1261"/>
  <c r="C1259"/>
  <c r="AB1259" s="1"/>
  <c r="O1258"/>
  <c r="C1258" s="1"/>
  <c r="AB1258" s="1"/>
  <c r="C1257"/>
  <c r="AB1257" s="1"/>
  <c r="V1253"/>
  <c r="R1253"/>
  <c r="W1253" s="1"/>
  <c r="O1252"/>
  <c r="C1252" s="1"/>
  <c r="AB1252" s="1"/>
  <c r="W1251"/>
  <c r="C1251" s="1"/>
  <c r="AB1251" s="1"/>
  <c r="W1231"/>
  <c r="V1231"/>
  <c r="W1223"/>
  <c r="C1223" s="1"/>
  <c r="AB1223" s="1"/>
  <c r="W1222"/>
  <c r="V1222"/>
  <c r="W1221"/>
  <c r="C1221" s="1"/>
  <c r="Z1221" s="1"/>
  <c r="C1216"/>
  <c r="AB1216" s="1"/>
  <c r="O1213"/>
  <c r="C1213" s="1"/>
  <c r="AB1213" s="1"/>
  <c r="O1212"/>
  <c r="C1212" s="1"/>
  <c r="AB1212" s="1"/>
  <c r="O1211"/>
  <c r="C1211" s="1"/>
  <c r="AB1211" s="1"/>
  <c r="W1210"/>
  <c r="V1210"/>
  <c r="O1209"/>
  <c r="C1209" s="1"/>
  <c r="AB1209" s="1"/>
  <c r="O1208"/>
  <c r="C1208" s="1"/>
  <c r="AB1208" s="1"/>
  <c r="O1207"/>
  <c r="C1207" s="1"/>
  <c r="AB1207" s="1"/>
  <c r="O1199"/>
  <c r="C1199" s="1"/>
  <c r="AB1199" s="1"/>
  <c r="O1198"/>
  <c r="C1198" s="1"/>
  <c r="AB1198" s="1"/>
  <c r="W1192"/>
  <c r="C1192" s="1"/>
  <c r="AB1192" s="1"/>
  <c r="W1191"/>
  <c r="C1191" s="1"/>
  <c r="AB1191" s="1"/>
  <c r="W1190"/>
  <c r="C1190" s="1"/>
  <c r="AB1190" s="1"/>
  <c r="W1189"/>
  <c r="C1189" s="1"/>
  <c r="AB1189" s="1"/>
  <c r="W1187"/>
  <c r="C1187" s="1"/>
  <c r="AB1187" s="1"/>
  <c r="W1183"/>
  <c r="V1183"/>
  <c r="W1179"/>
  <c r="C1179" s="1"/>
  <c r="AB1179" s="1"/>
  <c r="W1178"/>
  <c r="V1178"/>
  <c r="O1172"/>
  <c r="C1172" s="1"/>
  <c r="AB1172" s="1"/>
  <c r="O1171"/>
  <c r="C1171" s="1"/>
  <c r="AB1171" s="1"/>
  <c r="O1170"/>
  <c r="C1170" s="1"/>
  <c r="AB1170" s="1"/>
  <c r="O1169"/>
  <c r="C1169" s="1"/>
  <c r="AB1169" s="1"/>
  <c r="O1168"/>
  <c r="C1168" s="1"/>
  <c r="AB1168" s="1"/>
  <c r="O1167"/>
  <c r="C1167" s="1"/>
  <c r="AB1167" s="1"/>
  <c r="O1166"/>
  <c r="C1166" s="1"/>
  <c r="AB1166" s="1"/>
  <c r="O1165"/>
  <c r="C1165" s="1"/>
  <c r="AB1165" s="1"/>
  <c r="O1164"/>
  <c r="C1164" s="1"/>
  <c r="AB1164" s="1"/>
  <c r="W1159"/>
  <c r="C1159" s="1"/>
  <c r="AB1159" s="1"/>
  <c r="C1158"/>
  <c r="AB1158" s="1"/>
  <c r="O1157"/>
  <c r="C1157" s="1"/>
  <c r="AB1157" s="1"/>
  <c r="W1153"/>
  <c r="C1153" s="1"/>
  <c r="AB1153" s="1"/>
  <c r="C1149"/>
  <c r="AB1149" s="1"/>
  <c r="O1148"/>
  <c r="W1147"/>
  <c r="C1147" s="1"/>
  <c r="AB1147" s="1"/>
  <c r="C1143"/>
  <c r="AB1143" s="1"/>
  <c r="W1139"/>
  <c r="C1139" s="1"/>
  <c r="AB1139" s="1"/>
  <c r="C1137"/>
  <c r="AB1137" s="1"/>
  <c r="W1134"/>
  <c r="C1134" s="1"/>
  <c r="AB1134" s="1"/>
  <c r="W1133"/>
  <c r="C1133" s="1"/>
  <c r="AB1133" s="1"/>
  <c r="W1132"/>
  <c r="C1132" s="1"/>
  <c r="AB1132" s="1"/>
  <c r="V1131"/>
  <c r="V1292" s="1"/>
  <c r="L1131"/>
  <c r="I1131"/>
  <c r="H1131"/>
  <c r="G1131"/>
  <c r="D1131"/>
  <c r="D1129"/>
  <c r="E1129"/>
  <c r="F1129"/>
  <c r="G1129"/>
  <c r="H1129"/>
  <c r="I1129"/>
  <c r="J1129"/>
  <c r="K1129"/>
  <c r="L1129"/>
  <c r="M1129"/>
  <c r="N1129"/>
  <c r="O1129"/>
  <c r="P1129"/>
  <c r="Q1129"/>
  <c r="R1129"/>
  <c r="S1129"/>
  <c r="T1129"/>
  <c r="U1129"/>
  <c r="X1129"/>
  <c r="Y1129"/>
  <c r="Z1129"/>
  <c r="AA1129"/>
  <c r="AC1129"/>
  <c r="W1128"/>
  <c r="C1128" s="1"/>
  <c r="AB1128" s="1"/>
  <c r="W1127"/>
  <c r="V1127"/>
  <c r="W1126"/>
  <c r="V1126"/>
  <c r="W1124"/>
  <c r="C1124" s="1"/>
  <c r="AB1124" s="1"/>
  <c r="W1123"/>
  <c r="C1123" s="1"/>
  <c r="AB1123" s="1"/>
  <c r="W1121"/>
  <c r="C1121" s="1"/>
  <c r="AB1121" s="1"/>
  <c r="W1120"/>
  <c r="C1120" s="1"/>
  <c r="AB1120" s="1"/>
  <c r="W1119"/>
  <c r="V1119"/>
  <c r="E1117"/>
  <c r="F1117"/>
  <c r="J1117"/>
  <c r="K1117"/>
  <c r="M1117"/>
  <c r="N1117"/>
  <c r="O1117"/>
  <c r="T1117"/>
  <c r="U1117"/>
  <c r="X1117"/>
  <c r="Y1117"/>
  <c r="Z1117"/>
  <c r="AA1117"/>
  <c r="AC1117"/>
  <c r="W1113"/>
  <c r="V1113"/>
  <c r="L1113"/>
  <c r="L1117" s="1"/>
  <c r="I1113"/>
  <c r="G1113"/>
  <c r="G1117" s="1"/>
  <c r="D1113"/>
  <c r="D1117" s="1"/>
  <c r="W1112"/>
  <c r="V1112"/>
  <c r="V1104"/>
  <c r="S1104"/>
  <c r="Q1104"/>
  <c r="W1103"/>
  <c r="C1103" s="1"/>
  <c r="AB1103" s="1"/>
  <c r="Q1102"/>
  <c r="W1102" s="1"/>
  <c r="W1100"/>
  <c r="C1100" s="1"/>
  <c r="AB1100" s="1"/>
  <c r="D1097"/>
  <c r="E1097"/>
  <c r="F1097"/>
  <c r="G1097"/>
  <c r="H1097"/>
  <c r="J1097"/>
  <c r="K1097"/>
  <c r="M1097"/>
  <c r="N1097"/>
  <c r="O1097"/>
  <c r="P1097"/>
  <c r="Q1097"/>
  <c r="S1097"/>
  <c r="T1097"/>
  <c r="U1097"/>
  <c r="V1097"/>
  <c r="X1097"/>
  <c r="Y1097"/>
  <c r="Z1097"/>
  <c r="AA1097"/>
  <c r="AC1097"/>
  <c r="A1089"/>
  <c r="A1090" s="1"/>
  <c r="A1091" s="1"/>
  <c r="A1092" s="1"/>
  <c r="A1093" s="1"/>
  <c r="A1094" s="1"/>
  <c r="A1095" s="1"/>
  <c r="A1096" s="1"/>
  <c r="C1095"/>
  <c r="AB1095" s="1"/>
  <c r="W1094"/>
  <c r="C1094" s="1"/>
  <c r="AB1094" s="1"/>
  <c r="W1093"/>
  <c r="C1093" s="1"/>
  <c r="AB1093" s="1"/>
  <c r="C1090"/>
  <c r="AB1090" s="1"/>
  <c r="C1088"/>
  <c r="AB1088" s="1"/>
  <c r="C637"/>
  <c r="AB637" s="1"/>
  <c r="C512"/>
  <c r="C210"/>
  <c r="AB210" s="1"/>
  <c r="C194"/>
  <c r="AB194" s="1"/>
  <c r="C145"/>
  <c r="AB145" s="1"/>
  <c r="C125"/>
  <c r="AB125" s="1"/>
  <c r="K36"/>
  <c r="C36" s="1"/>
  <c r="AB36" s="1"/>
  <c r="K35"/>
  <c r="C35" s="1"/>
  <c r="AB35" s="1"/>
  <c r="K34"/>
  <c r="C34" s="1"/>
  <c r="AB34" s="1"/>
  <c r="K33"/>
  <c r="C33" s="1"/>
  <c r="AB33" s="1"/>
  <c r="K32"/>
  <c r="C32" s="1"/>
  <c r="AB32" s="1"/>
  <c r="K31"/>
  <c r="C31" s="1"/>
  <c r="AB31" s="1"/>
  <c r="V925"/>
  <c r="E366"/>
  <c r="D715"/>
  <c r="E715"/>
  <c r="F715"/>
  <c r="G715"/>
  <c r="H715"/>
  <c r="I715"/>
  <c r="J715"/>
  <c r="K715"/>
  <c r="L715"/>
  <c r="M715"/>
  <c r="N715"/>
  <c r="O715"/>
  <c r="Q715"/>
  <c r="R715"/>
  <c r="S715"/>
  <c r="T715"/>
  <c r="U715"/>
  <c r="V715"/>
  <c r="X715"/>
  <c r="Y715"/>
  <c r="AA715"/>
  <c r="AC715"/>
  <c r="AC1496"/>
  <c r="AB1496"/>
  <c r="AA1496"/>
  <c r="Y1496"/>
  <c r="X1496"/>
  <c r="W1496"/>
  <c r="V1496"/>
  <c r="T1496"/>
  <c r="T1504" s="1"/>
  <c r="S1496"/>
  <c r="R1496"/>
  <c r="Q1496"/>
  <c r="P1496"/>
  <c r="O1496"/>
  <c r="N1496"/>
  <c r="M1496"/>
  <c r="L1496"/>
  <c r="K1496"/>
  <c r="J1496"/>
  <c r="I1496"/>
  <c r="H1496"/>
  <c r="G1496"/>
  <c r="F1496"/>
  <c r="E1496"/>
  <c r="D1496"/>
  <c r="U1495"/>
  <c r="C1495" s="1"/>
  <c r="Z1495" s="1"/>
  <c r="U1494"/>
  <c r="C1494" s="1"/>
  <c r="E1459"/>
  <c r="F1459"/>
  <c r="H1459"/>
  <c r="I1459"/>
  <c r="J1459"/>
  <c r="K1459"/>
  <c r="L1459"/>
  <c r="M1459"/>
  <c r="N1459"/>
  <c r="O1459"/>
  <c r="P1459"/>
  <c r="Q1459"/>
  <c r="S1459"/>
  <c r="T1459"/>
  <c r="U1459"/>
  <c r="V1459"/>
  <c r="X1459"/>
  <c r="AA1459"/>
  <c r="AC1459"/>
  <c r="C1455"/>
  <c r="Y1455" s="1"/>
  <c r="Y1459" s="1"/>
  <c r="C1412"/>
  <c r="AB1412" s="1"/>
  <c r="C1411"/>
  <c r="AB1411" s="1"/>
  <c r="C1410"/>
  <c r="AB1410" s="1"/>
  <c r="C1409"/>
  <c r="Z1402"/>
  <c r="Y1402"/>
  <c r="Y1403" s="1"/>
  <c r="W1402"/>
  <c r="V1402"/>
  <c r="C1402" s="1"/>
  <c r="AB1402" s="1"/>
  <c r="V1403"/>
  <c r="D1397"/>
  <c r="E1397"/>
  <c r="G1397"/>
  <c r="H1397"/>
  <c r="I1397"/>
  <c r="J1397"/>
  <c r="K1397"/>
  <c r="L1397"/>
  <c r="M1397"/>
  <c r="N1397"/>
  <c r="O1397"/>
  <c r="P1397"/>
  <c r="Q1397"/>
  <c r="R1397"/>
  <c r="S1397"/>
  <c r="T1397"/>
  <c r="U1397"/>
  <c r="V1397"/>
  <c r="W1397"/>
  <c r="X1397"/>
  <c r="AA1397"/>
  <c r="AC1397"/>
  <c r="C1396"/>
  <c r="Y1396" s="1"/>
  <c r="C1395"/>
  <c r="Y1395" s="1"/>
  <c r="Z1390"/>
  <c r="Y1390"/>
  <c r="C1390"/>
  <c r="U1313"/>
  <c r="C1313" s="1"/>
  <c r="Z1313" s="1"/>
  <c r="U1312"/>
  <c r="C1312" s="1"/>
  <c r="Z1312" s="1"/>
  <c r="U1311"/>
  <c r="C1311" s="1"/>
  <c r="Z1311" s="1"/>
  <c r="U1310"/>
  <c r="C1310" s="1"/>
  <c r="Z1310" s="1"/>
  <c r="U1309"/>
  <c r="C1309" s="1"/>
  <c r="Z1309" s="1"/>
  <c r="U1307"/>
  <c r="C1307" s="1"/>
  <c r="Z1307" s="1"/>
  <c r="U1306"/>
  <c r="C1306" s="1"/>
  <c r="Z1306" s="1"/>
  <c r="U1305"/>
  <c r="C1305" s="1"/>
  <c r="Z1305" s="1"/>
  <c r="U1304"/>
  <c r="C1304" s="1"/>
  <c r="U1303"/>
  <c r="C1218"/>
  <c r="Z1218" s="1"/>
  <c r="C1217"/>
  <c r="Z1217" s="1"/>
  <c r="E1110"/>
  <c r="F1110"/>
  <c r="J1110"/>
  <c r="K1110"/>
  <c r="M1110"/>
  <c r="N1110"/>
  <c r="O1110"/>
  <c r="P1110"/>
  <c r="T1110"/>
  <c r="U1110"/>
  <c r="X1110"/>
  <c r="Y1110"/>
  <c r="AA1110"/>
  <c r="AC1110"/>
  <c r="C1109"/>
  <c r="Z1109" s="1"/>
  <c r="W1107"/>
  <c r="C1107" s="1"/>
  <c r="Z1107" s="1"/>
  <c r="C1106"/>
  <c r="Z1106" s="1"/>
  <c r="C1101"/>
  <c r="Z1101" s="1"/>
  <c r="V1110"/>
  <c r="R1110"/>
  <c r="H1110"/>
  <c r="G1110"/>
  <c r="C1017"/>
  <c r="AB1017" s="1"/>
  <c r="C1016"/>
  <c r="Z1016" s="1"/>
  <c r="C1010"/>
  <c r="Z1010" s="1"/>
  <c r="Z983"/>
  <c r="Y983"/>
  <c r="W983"/>
  <c r="V983"/>
  <c r="C973"/>
  <c r="Y973" s="1"/>
  <c r="C972"/>
  <c r="Z972" s="1"/>
  <c r="C971"/>
  <c r="Y971" s="1"/>
  <c r="C969"/>
  <c r="Y969" s="1"/>
  <c r="C968"/>
  <c r="Z968" s="1"/>
  <c r="C967"/>
  <c r="Y967" s="1"/>
  <c r="C966"/>
  <c r="Z966" s="1"/>
  <c r="C965"/>
  <c r="Y965" s="1"/>
  <c r="C964"/>
  <c r="Z964" s="1"/>
  <c r="C963"/>
  <c r="Y963" s="1"/>
  <c r="C962"/>
  <c r="Z962" s="1"/>
  <c r="C961"/>
  <c r="Y961" s="1"/>
  <c r="C960"/>
  <c r="Z960" s="1"/>
  <c r="C959"/>
  <c r="Y959" s="1"/>
  <c r="C958"/>
  <c r="Z958" s="1"/>
  <c r="C957"/>
  <c r="Y957" s="1"/>
  <c r="C956"/>
  <c r="Z956" s="1"/>
  <c r="C955"/>
  <c r="Y955" s="1"/>
  <c r="C954"/>
  <c r="Z954" s="1"/>
  <c r="C953"/>
  <c r="Y953" s="1"/>
  <c r="C952"/>
  <c r="Z952" s="1"/>
  <c r="C951"/>
  <c r="Y951" s="1"/>
  <c r="C950"/>
  <c r="Z950" s="1"/>
  <c r="C946"/>
  <c r="Y946" s="1"/>
  <c r="C945"/>
  <c r="Z945" s="1"/>
  <c r="C944"/>
  <c r="AB944" s="1"/>
  <c r="C943"/>
  <c r="Y943" s="1"/>
  <c r="Z942"/>
  <c r="Y942"/>
  <c r="W942"/>
  <c r="V942"/>
  <c r="C927"/>
  <c r="Y927" s="1"/>
  <c r="C926"/>
  <c r="Z926" s="1"/>
  <c r="Z925"/>
  <c r="Y925"/>
  <c r="W925"/>
  <c r="L925"/>
  <c r="I925"/>
  <c r="H925"/>
  <c r="G925"/>
  <c r="D925"/>
  <c r="Z924"/>
  <c r="Y924"/>
  <c r="W924"/>
  <c r="V924"/>
  <c r="L924"/>
  <c r="I924"/>
  <c r="H924"/>
  <c r="G924"/>
  <c r="D924"/>
  <c r="L923"/>
  <c r="I923"/>
  <c r="H923"/>
  <c r="G923"/>
  <c r="D923"/>
  <c r="C922"/>
  <c r="AB922" s="1"/>
  <c r="Z921"/>
  <c r="Y921"/>
  <c r="W921"/>
  <c r="V921"/>
  <c r="C920"/>
  <c r="AB920" s="1"/>
  <c r="L919"/>
  <c r="I919"/>
  <c r="H919"/>
  <c r="G919"/>
  <c r="D919"/>
  <c r="L918"/>
  <c r="H918"/>
  <c r="G918"/>
  <c r="D918"/>
  <c r="C917"/>
  <c r="Y917" s="1"/>
  <c r="C916"/>
  <c r="Z916" s="1"/>
  <c r="C915"/>
  <c r="Y915" s="1"/>
  <c r="C914"/>
  <c r="Z914" s="1"/>
  <c r="C913"/>
  <c r="Y913" s="1"/>
  <c r="C904"/>
  <c r="Z904" s="1"/>
  <c r="C903"/>
  <c r="Y903" s="1"/>
  <c r="C902"/>
  <c r="Z902" s="1"/>
  <c r="C901"/>
  <c r="Y901" s="1"/>
  <c r="C900"/>
  <c r="Z900" s="1"/>
  <c r="C899"/>
  <c r="Y899" s="1"/>
  <c r="C898"/>
  <c r="Z898" s="1"/>
  <c r="C897"/>
  <c r="Y897" s="1"/>
  <c r="C896"/>
  <c r="Z896" s="1"/>
  <c r="C895"/>
  <c r="Y895" s="1"/>
  <c r="C894"/>
  <c r="Z894" s="1"/>
  <c r="C893"/>
  <c r="Y893" s="1"/>
  <c r="C905"/>
  <c r="Y905" s="1"/>
  <c r="C886"/>
  <c r="Y886" s="1"/>
  <c r="C885"/>
  <c r="Z885" s="1"/>
  <c r="C884"/>
  <c r="Y884" s="1"/>
  <c r="C881"/>
  <c r="Y881" s="1"/>
  <c r="C880"/>
  <c r="Z880" s="1"/>
  <c r="C879"/>
  <c r="Y879" s="1"/>
  <c r="C878"/>
  <c r="Z878" s="1"/>
  <c r="C877"/>
  <c r="Y877" s="1"/>
  <c r="C876"/>
  <c r="Z876" s="1"/>
  <c r="C875"/>
  <c r="Y875" s="1"/>
  <c r="C874"/>
  <c r="Z874" s="1"/>
  <c r="C873"/>
  <c r="Y873" s="1"/>
  <c r="Z872"/>
  <c r="Y872"/>
  <c r="W872"/>
  <c r="V872"/>
  <c r="C871"/>
  <c r="AB871" s="1"/>
  <c r="C870"/>
  <c r="Y870" s="1"/>
  <c r="C869"/>
  <c r="Z869" s="1"/>
  <c r="C852"/>
  <c r="Y852" s="1"/>
  <c r="C851"/>
  <c r="Z851" s="1"/>
  <c r="C850"/>
  <c r="Y850" s="1"/>
  <c r="C849"/>
  <c r="Z849" s="1"/>
  <c r="Z848"/>
  <c r="Y848"/>
  <c r="W848"/>
  <c r="V848"/>
  <c r="F848"/>
  <c r="C847"/>
  <c r="Z847" s="1"/>
  <c r="C846"/>
  <c r="AB846" s="1"/>
  <c r="C845"/>
  <c r="Y845" s="1"/>
  <c r="C844"/>
  <c r="Z844" s="1"/>
  <c r="C843"/>
  <c r="Y843" s="1"/>
  <c r="C842"/>
  <c r="Z842" s="1"/>
  <c r="C841"/>
  <c r="Y841" s="1"/>
  <c r="C840"/>
  <c r="Z840" s="1"/>
  <c r="C799"/>
  <c r="Y799" s="1"/>
  <c r="C798"/>
  <c r="Z798" s="1"/>
  <c r="C797"/>
  <c r="Y797" s="1"/>
  <c r="C784"/>
  <c r="Z784" s="1"/>
  <c r="C783"/>
  <c r="Y783" s="1"/>
  <c r="C780"/>
  <c r="Y780" s="1"/>
  <c r="C772"/>
  <c r="Y772" s="1"/>
  <c r="V771"/>
  <c r="C771" s="1"/>
  <c r="Z771" s="1"/>
  <c r="C769"/>
  <c r="Y769" s="1"/>
  <c r="C768"/>
  <c r="Z768" s="1"/>
  <c r="C767"/>
  <c r="Y767" s="1"/>
  <c r="C766"/>
  <c r="Z766" s="1"/>
  <c r="Z765"/>
  <c r="Y765"/>
  <c r="C765"/>
  <c r="C763"/>
  <c r="Y763" s="1"/>
  <c r="C761"/>
  <c r="Z761" s="1"/>
  <c r="C751"/>
  <c r="Z751" s="1"/>
  <c r="V750"/>
  <c r="C750" s="1"/>
  <c r="V748"/>
  <c r="C748" s="1"/>
  <c r="Z748" s="1"/>
  <c r="V747"/>
  <c r="C747" s="1"/>
  <c r="Z747" s="1"/>
  <c r="W740"/>
  <c r="V740"/>
  <c r="W739"/>
  <c r="V739"/>
  <c r="W738"/>
  <c r="V738"/>
  <c r="C738" s="1"/>
  <c r="Y738" s="1"/>
  <c r="C731"/>
  <c r="Y731" s="1"/>
  <c r="Z730"/>
  <c r="Y730"/>
  <c r="W730"/>
  <c r="U730"/>
  <c r="W729"/>
  <c r="C729" s="1"/>
  <c r="Y729" s="1"/>
  <c r="W728"/>
  <c r="C728" s="1"/>
  <c r="Y728" s="1"/>
  <c r="C727"/>
  <c r="Z727" s="1"/>
  <c r="W726"/>
  <c r="C726" s="1"/>
  <c r="W725"/>
  <c r="C725" s="1"/>
  <c r="C724"/>
  <c r="Z724" s="1"/>
  <c r="P712"/>
  <c r="W712" s="1"/>
  <c r="P709"/>
  <c r="W709" s="1"/>
  <c r="P707"/>
  <c r="W707" s="1"/>
  <c r="C704"/>
  <c r="Y704" s="1"/>
  <c r="C703"/>
  <c r="Z703" s="1"/>
  <c r="Z702"/>
  <c r="Y702"/>
  <c r="W702"/>
  <c r="V702"/>
  <c r="C702" s="1"/>
  <c r="Z701"/>
  <c r="Y701"/>
  <c r="W701"/>
  <c r="V701"/>
  <c r="Z700"/>
  <c r="Y700"/>
  <c r="W700"/>
  <c r="V700"/>
  <c r="Z699"/>
  <c r="Y699"/>
  <c r="W699"/>
  <c r="V699"/>
  <c r="Z698"/>
  <c r="Y698"/>
  <c r="W698"/>
  <c r="V698"/>
  <c r="C698" s="1"/>
  <c r="C697"/>
  <c r="Z697" s="1"/>
  <c r="Z694"/>
  <c r="Y694"/>
  <c r="W694"/>
  <c r="V694"/>
  <c r="Z686"/>
  <c r="Y686"/>
  <c r="W686"/>
  <c r="V686"/>
  <c r="C659"/>
  <c r="Y659" s="1"/>
  <c r="C653"/>
  <c r="Z653" s="1"/>
  <c r="C644"/>
  <c r="Z644" s="1"/>
  <c r="C632"/>
  <c r="Z632" s="1"/>
  <c r="C1303" l="1"/>
  <c r="Z1303" s="1"/>
  <c r="U1315"/>
  <c r="C1127"/>
  <c r="AB1127" s="1"/>
  <c r="C1178"/>
  <c r="AB1178" s="1"/>
  <c r="V1369"/>
  <c r="W1148"/>
  <c r="O1292"/>
  <c r="Z1304"/>
  <c r="Z1292"/>
  <c r="C1486"/>
  <c r="AB1486" s="1"/>
  <c r="C1319"/>
  <c r="AB1319" s="1"/>
  <c r="C1282"/>
  <c r="AB1282" s="1"/>
  <c r="C1300"/>
  <c r="AB1300" s="1"/>
  <c r="V1321"/>
  <c r="L1369"/>
  <c r="W1426"/>
  <c r="C1431"/>
  <c r="AB1431" s="1"/>
  <c r="C1210"/>
  <c r="AB1210" s="1"/>
  <c r="C1231"/>
  <c r="AB1231" s="1"/>
  <c r="C1265"/>
  <c r="AB1265" s="1"/>
  <c r="C1324"/>
  <c r="AB1324" s="1"/>
  <c r="C1332"/>
  <c r="AB1332" s="1"/>
  <c r="V1453"/>
  <c r="W1104"/>
  <c r="C1104" s="1"/>
  <c r="AB1104" s="1"/>
  <c r="V1117"/>
  <c r="C1113"/>
  <c r="AB1113" s="1"/>
  <c r="W1129"/>
  <c r="C1263"/>
  <c r="AB1263" s="1"/>
  <c r="W1271"/>
  <c r="C1271" s="1"/>
  <c r="AB1271" s="1"/>
  <c r="C1298"/>
  <c r="AB1298" s="1"/>
  <c r="W1369"/>
  <c r="U1369"/>
  <c r="Y1397"/>
  <c r="W1403"/>
  <c r="Z1403"/>
  <c r="V1129"/>
  <c r="C1126"/>
  <c r="AB1126" s="1"/>
  <c r="C1183"/>
  <c r="AB1183" s="1"/>
  <c r="R1369"/>
  <c r="D1369"/>
  <c r="D1453"/>
  <c r="W1458"/>
  <c r="K37"/>
  <c r="F1453"/>
  <c r="AC1504"/>
  <c r="C1458"/>
  <c r="AB1458" s="1"/>
  <c r="C1426"/>
  <c r="AB1426" s="1"/>
  <c r="F1397"/>
  <c r="C686"/>
  <c r="C730"/>
  <c r="C872"/>
  <c r="Y874"/>
  <c r="Y900"/>
  <c r="C921"/>
  <c r="AB921" s="1"/>
  <c r="C924"/>
  <c r="AB924" s="1"/>
  <c r="Y926"/>
  <c r="C942"/>
  <c r="Y945"/>
  <c r="AB1409"/>
  <c r="C1112"/>
  <c r="C1119"/>
  <c r="AB1119" s="1"/>
  <c r="W1131"/>
  <c r="C1222"/>
  <c r="AB1222" s="1"/>
  <c r="W1275"/>
  <c r="W1276"/>
  <c r="C1276" s="1"/>
  <c r="AB1276" s="1"/>
  <c r="W1321"/>
  <c r="C1320"/>
  <c r="AB1320" s="1"/>
  <c r="C1335"/>
  <c r="AB1335" s="1"/>
  <c r="C1338"/>
  <c r="AB1338" s="1"/>
  <c r="Z1346"/>
  <c r="Z1369" s="1"/>
  <c r="C1325"/>
  <c r="AB1325" s="1"/>
  <c r="AB1317"/>
  <c r="C1318"/>
  <c r="AB1318" s="1"/>
  <c r="C1275"/>
  <c r="AB1275" s="1"/>
  <c r="W1261"/>
  <c r="C1261" s="1"/>
  <c r="AB1261" s="1"/>
  <c r="C1253"/>
  <c r="AB1253" s="1"/>
  <c r="C1148"/>
  <c r="AB1148" s="1"/>
  <c r="C1131"/>
  <c r="AB1131" s="1"/>
  <c r="S1110"/>
  <c r="C1102"/>
  <c r="AB1102" s="1"/>
  <c r="Z1494"/>
  <c r="Z1496" s="1"/>
  <c r="C1496"/>
  <c r="U1496"/>
  <c r="U1504" s="1"/>
  <c r="Z1455"/>
  <c r="Z1459" s="1"/>
  <c r="C1403"/>
  <c r="Z1395"/>
  <c r="Z1396"/>
  <c r="C848"/>
  <c r="AB848" s="1"/>
  <c r="Y849"/>
  <c r="Z1110"/>
  <c r="D1110"/>
  <c r="C700"/>
  <c r="C701"/>
  <c r="Y703"/>
  <c r="C740"/>
  <c r="Y740" s="1"/>
  <c r="Y869"/>
  <c r="Y878"/>
  <c r="Y896"/>
  <c r="C983"/>
  <c r="AB983" s="1"/>
  <c r="C694"/>
  <c r="Y697"/>
  <c r="C699"/>
  <c r="C739"/>
  <c r="Y751"/>
  <c r="Y798"/>
  <c r="Y851"/>
  <c r="Y876"/>
  <c r="Y880"/>
  <c r="Y894"/>
  <c r="Y898"/>
  <c r="Y902"/>
  <c r="W919"/>
  <c r="W923"/>
  <c r="C923" s="1"/>
  <c r="AB923" s="1"/>
  <c r="C925"/>
  <c r="AB925" s="1"/>
  <c r="Y727"/>
  <c r="Y768"/>
  <c r="Y962"/>
  <c r="Z905"/>
  <c r="Y914"/>
  <c r="Y966"/>
  <c r="Y761"/>
  <c r="Y766"/>
  <c r="Y784"/>
  <c r="Y916"/>
  <c r="Y952"/>
  <c r="Y956"/>
  <c r="Y960"/>
  <c r="Y964"/>
  <c r="Y968"/>
  <c r="Y972"/>
  <c r="Y885"/>
  <c r="Y950"/>
  <c r="Y954"/>
  <c r="Y958"/>
  <c r="Z973"/>
  <c r="Z971"/>
  <c r="Z951"/>
  <c r="Z955"/>
  <c r="Z957"/>
  <c r="Z959"/>
  <c r="Z961"/>
  <c r="Z963"/>
  <c r="Z965"/>
  <c r="Z967"/>
  <c r="Z969"/>
  <c r="Z953"/>
  <c r="Z946"/>
  <c r="Z943"/>
  <c r="Z927"/>
  <c r="Z913"/>
  <c r="Z915"/>
  <c r="Z917"/>
  <c r="W918"/>
  <c r="C918" s="1"/>
  <c r="AB918" s="1"/>
  <c r="C919"/>
  <c r="AB919" s="1"/>
  <c r="Z897"/>
  <c r="Z901"/>
  <c r="Z893"/>
  <c r="Z895"/>
  <c r="Z899"/>
  <c r="Z903"/>
  <c r="Z884"/>
  <c r="Z886"/>
  <c r="Z870"/>
  <c r="Z873"/>
  <c r="Z875"/>
  <c r="Z877"/>
  <c r="Z879"/>
  <c r="Z881"/>
  <c r="Y840"/>
  <c r="Z841"/>
  <c r="Y842"/>
  <c r="Z843"/>
  <c r="Y844"/>
  <c r="Z845"/>
  <c r="Y847"/>
  <c r="Z850"/>
  <c r="Z852"/>
  <c r="Z797"/>
  <c r="Z799"/>
  <c r="Z783"/>
  <c r="Z780"/>
  <c r="Z763"/>
  <c r="Z767"/>
  <c r="Z769"/>
  <c r="Y771"/>
  <c r="Z772"/>
  <c r="Y750"/>
  <c r="Z750"/>
  <c r="Y747"/>
  <c r="Y748"/>
  <c r="Z739"/>
  <c r="Y739"/>
  <c r="Z738"/>
  <c r="Z740"/>
  <c r="Z726"/>
  <c r="Y726"/>
  <c r="Z725"/>
  <c r="Y725"/>
  <c r="Y724"/>
  <c r="Z728"/>
  <c r="Z729"/>
  <c r="Z731"/>
  <c r="C712"/>
  <c r="AB712" s="1"/>
  <c r="C709"/>
  <c r="AB709" s="1"/>
  <c r="C707"/>
  <c r="Z704"/>
  <c r="Z659"/>
  <c r="AB1369" l="1"/>
  <c r="AB1321"/>
  <c r="C1369"/>
  <c r="AB1112"/>
  <c r="Z1397"/>
  <c r="C1321"/>
  <c r="AB1403"/>
  <c r="AB707"/>
  <c r="C627" l="1"/>
  <c r="Z627" s="1"/>
  <c r="C626"/>
  <c r="Z626" s="1"/>
  <c r="C619"/>
  <c r="Z619" s="1"/>
  <c r="C618"/>
  <c r="Z618" s="1"/>
  <c r="C617"/>
  <c r="Z617" s="1"/>
  <c r="C616"/>
  <c r="Z616" s="1"/>
  <c r="C603"/>
  <c r="Z603" s="1"/>
  <c r="C599"/>
  <c r="Z599" s="1"/>
  <c r="C598"/>
  <c r="Z598" s="1"/>
  <c r="C597"/>
  <c r="Z597" s="1"/>
  <c r="C596"/>
  <c r="Z596" s="1"/>
  <c r="C595"/>
  <c r="Z595" s="1"/>
  <c r="C594"/>
  <c r="Z594" s="1"/>
  <c r="C586"/>
  <c r="Z586" s="1"/>
  <c r="C585"/>
  <c r="Z585" s="1"/>
  <c r="C584"/>
  <c r="Z584" s="1"/>
  <c r="K583"/>
  <c r="C583" s="1"/>
  <c r="Z583" s="1"/>
  <c r="C582"/>
  <c r="Z582" s="1"/>
  <c r="C581"/>
  <c r="Z581" s="1"/>
  <c r="C525"/>
  <c r="Z525" s="1"/>
  <c r="C524"/>
  <c r="Z524" s="1"/>
  <c r="C523"/>
  <c r="Z523" s="1"/>
  <c r="C522"/>
  <c r="Z522" s="1"/>
  <c r="C521"/>
  <c r="Z521" s="1"/>
  <c r="C520"/>
  <c r="AB520" s="1"/>
  <c r="C519"/>
  <c r="Z519" s="1"/>
  <c r="K518"/>
  <c r="C518" s="1"/>
  <c r="Z518" s="1"/>
  <c r="C517"/>
  <c r="Z517" s="1"/>
  <c r="C503"/>
  <c r="Z503" s="1"/>
  <c r="K502"/>
  <c r="C502" s="1"/>
  <c r="Z502" s="1"/>
  <c r="C501"/>
  <c r="Z501" s="1"/>
  <c r="C500"/>
  <c r="Z500" s="1"/>
  <c r="K499"/>
  <c r="C499" s="1"/>
  <c r="Z499" s="1"/>
  <c r="C498"/>
  <c r="Z498" s="1"/>
  <c r="C497"/>
  <c r="Z497" s="1"/>
  <c r="C496"/>
  <c r="Z496" s="1"/>
  <c r="C480"/>
  <c r="Y480" s="1"/>
  <c r="P432"/>
  <c r="W432" s="1"/>
  <c r="S213"/>
  <c r="R213"/>
  <c r="Q213"/>
  <c r="X191"/>
  <c r="L191"/>
  <c r="I191"/>
  <c r="C190"/>
  <c r="Z190" s="1"/>
  <c r="X188"/>
  <c r="C188" s="1"/>
  <c r="Z187"/>
  <c r="C187"/>
  <c r="X184"/>
  <c r="C184" s="1"/>
  <c r="V183"/>
  <c r="C183" s="1"/>
  <c r="C182"/>
  <c r="Z182" s="1"/>
  <c r="C180"/>
  <c r="Z180" s="1"/>
  <c r="C185"/>
  <c r="Z185" s="1"/>
  <c r="AB185" s="1"/>
  <c r="V124"/>
  <c r="C124" s="1"/>
  <c r="Z124" s="1"/>
  <c r="X123"/>
  <c r="V123"/>
  <c r="Z829"/>
  <c r="Y829"/>
  <c r="O829"/>
  <c r="C829" s="1"/>
  <c r="R448"/>
  <c r="C448" s="1"/>
  <c r="AB448" s="1"/>
  <c r="C1394"/>
  <c r="AB1394" s="1"/>
  <c r="C1392"/>
  <c r="AB1392" s="1"/>
  <c r="C1389"/>
  <c r="AB1389" s="1"/>
  <c r="C1388"/>
  <c r="AB1388" s="1"/>
  <c r="C1387"/>
  <c r="AB1387" s="1"/>
  <c r="C1386"/>
  <c r="AB1386" s="1"/>
  <c r="C1385"/>
  <c r="AB1385" s="1"/>
  <c r="C1381"/>
  <c r="AB1381" s="1"/>
  <c r="C1379"/>
  <c r="AB1379" s="1"/>
  <c r="S1181"/>
  <c r="W1181" s="1"/>
  <c r="O1073"/>
  <c r="W1073" s="1"/>
  <c r="W1055"/>
  <c r="C1055" s="1"/>
  <c r="AB1055" s="1"/>
  <c r="C1052"/>
  <c r="Z1052" s="1"/>
  <c r="C1050"/>
  <c r="Z1050" s="1"/>
  <c r="C1019"/>
  <c r="Y1019" s="1"/>
  <c r="C1004"/>
  <c r="Y1004" s="1"/>
  <c r="C1003"/>
  <c r="Y1003" s="1"/>
  <c r="C1002"/>
  <c r="Y1002" s="1"/>
  <c r="R998"/>
  <c r="G998"/>
  <c r="D998"/>
  <c r="C982"/>
  <c r="Z982" s="1"/>
  <c r="C981"/>
  <c r="Z981" s="1"/>
  <c r="C980"/>
  <c r="Z980" s="1"/>
  <c r="C979"/>
  <c r="Z979" s="1"/>
  <c r="Z976"/>
  <c r="Y976"/>
  <c r="W976"/>
  <c r="V976"/>
  <c r="C975"/>
  <c r="Z975" s="1"/>
  <c r="C974"/>
  <c r="Z974" s="1"/>
  <c r="C970"/>
  <c r="Z970" s="1"/>
  <c r="C949"/>
  <c r="Y949" s="1"/>
  <c r="C948"/>
  <c r="Y948" s="1"/>
  <c r="C941"/>
  <c r="Z941" s="1"/>
  <c r="C940"/>
  <c r="Z940" s="1"/>
  <c r="C939"/>
  <c r="Z939" s="1"/>
  <c r="C938"/>
  <c r="Z938" s="1"/>
  <c r="C937"/>
  <c r="Z937" s="1"/>
  <c r="C936"/>
  <c r="Z936" s="1"/>
  <c r="C935"/>
  <c r="Z935" s="1"/>
  <c r="C934"/>
  <c r="Z934" s="1"/>
  <c r="C933"/>
  <c r="Z933" s="1"/>
  <c r="C932"/>
  <c r="Z932" s="1"/>
  <c r="C931"/>
  <c r="Z931" s="1"/>
  <c r="C930"/>
  <c r="Z930" s="1"/>
  <c r="C929"/>
  <c r="Z929" s="1"/>
  <c r="C928"/>
  <c r="Z928" s="1"/>
  <c r="C912"/>
  <c r="Y912" s="1"/>
  <c r="C911"/>
  <c r="Y911" s="1"/>
  <c r="C910"/>
  <c r="Y910" s="1"/>
  <c r="L909"/>
  <c r="I909"/>
  <c r="H909"/>
  <c r="G909"/>
  <c r="D909"/>
  <c r="C908"/>
  <c r="Y908" s="1"/>
  <c r="C907"/>
  <c r="Y907" s="1"/>
  <c r="C906"/>
  <c r="Y906" s="1"/>
  <c r="C892"/>
  <c r="Z892" s="1"/>
  <c r="C890"/>
  <c r="Z890" s="1"/>
  <c r="C889"/>
  <c r="AB889" s="1"/>
  <c r="C887"/>
  <c r="Z887" s="1"/>
  <c r="C868"/>
  <c r="Z868" s="1"/>
  <c r="C867"/>
  <c r="Z867" s="1"/>
  <c r="C866"/>
  <c r="Z866" s="1"/>
  <c r="C865"/>
  <c r="Z865" s="1"/>
  <c r="C864"/>
  <c r="Z864" s="1"/>
  <c r="C863"/>
  <c r="Z863" s="1"/>
  <c r="C862"/>
  <c r="Z862" s="1"/>
  <c r="C861"/>
  <c r="Z861" s="1"/>
  <c r="C860"/>
  <c r="Z860" s="1"/>
  <c r="C859"/>
  <c r="Z859" s="1"/>
  <c r="C858"/>
  <c r="Z858" s="1"/>
  <c r="Z857"/>
  <c r="Y857"/>
  <c r="W857"/>
  <c r="V857"/>
  <c r="F857"/>
  <c r="C855"/>
  <c r="Y855" s="1"/>
  <c r="C854"/>
  <c r="Y854" s="1"/>
  <c r="C853"/>
  <c r="Y853" s="1"/>
  <c r="C838"/>
  <c r="Y838" s="1"/>
  <c r="O837"/>
  <c r="W837" s="1"/>
  <c r="C824"/>
  <c r="Y824" s="1"/>
  <c r="C823"/>
  <c r="Y823" s="1"/>
  <c r="C822"/>
  <c r="Y822" s="1"/>
  <c r="V821"/>
  <c r="O821"/>
  <c r="W821" s="1"/>
  <c r="V820"/>
  <c r="O820"/>
  <c r="F820"/>
  <c r="C819"/>
  <c r="AB819" s="1"/>
  <c r="C818"/>
  <c r="AB818" s="1"/>
  <c r="C817"/>
  <c r="Y817" s="1"/>
  <c r="C803"/>
  <c r="Z803" s="1"/>
  <c r="C796"/>
  <c r="Z796" s="1"/>
  <c r="C795"/>
  <c r="AB795" s="1"/>
  <c r="Z794"/>
  <c r="Y794"/>
  <c r="V794"/>
  <c r="C794" s="1"/>
  <c r="C793"/>
  <c r="Z793" s="1"/>
  <c r="C789"/>
  <c r="Y789" s="1"/>
  <c r="Z788"/>
  <c r="Y788"/>
  <c r="W788"/>
  <c r="V788"/>
  <c r="Z787"/>
  <c r="Y787"/>
  <c r="C787"/>
  <c r="Z786"/>
  <c r="Y786"/>
  <c r="V786"/>
  <c r="C786" s="1"/>
  <c r="C781"/>
  <c r="Y781" s="1"/>
  <c r="C776"/>
  <c r="AB776" s="1"/>
  <c r="C775"/>
  <c r="AB775" s="1"/>
  <c r="V756"/>
  <c r="C756" s="1"/>
  <c r="C755"/>
  <c r="Z755" s="1"/>
  <c r="V754"/>
  <c r="C754" s="1"/>
  <c r="Y754" s="1"/>
  <c r="Z737"/>
  <c r="Y737"/>
  <c r="W737"/>
  <c r="U737"/>
  <c r="Z732"/>
  <c r="Y732"/>
  <c r="W732"/>
  <c r="U732"/>
  <c r="C723"/>
  <c r="Y723" s="1"/>
  <c r="C722"/>
  <c r="Y722" s="1"/>
  <c r="Z693"/>
  <c r="Y693"/>
  <c r="U693"/>
  <c r="C693" s="1"/>
  <c r="C692"/>
  <c r="Z692" s="1"/>
  <c r="C691"/>
  <c r="Z691" s="1"/>
  <c r="C690"/>
  <c r="Z690" s="1"/>
  <c r="Z689"/>
  <c r="Y689"/>
  <c r="U689"/>
  <c r="C689" s="1"/>
  <c r="Z688"/>
  <c r="Y688"/>
  <c r="U688"/>
  <c r="C688" s="1"/>
  <c r="C687"/>
  <c r="Z687" s="1"/>
  <c r="Z683"/>
  <c r="Y683"/>
  <c r="U683"/>
  <c r="C683" s="1"/>
  <c r="Z682"/>
  <c r="Y682"/>
  <c r="U682"/>
  <c r="C682" s="1"/>
  <c r="Z681"/>
  <c r="Y681"/>
  <c r="U681"/>
  <c r="C681" s="1"/>
  <c r="Z680"/>
  <c r="Y680"/>
  <c r="U680"/>
  <c r="C680" s="1"/>
  <c r="U696"/>
  <c r="C696" s="1"/>
  <c r="D705"/>
  <c r="E705"/>
  <c r="F705"/>
  <c r="G705"/>
  <c r="H705"/>
  <c r="I705"/>
  <c r="J705"/>
  <c r="K705"/>
  <c r="L705"/>
  <c r="M705"/>
  <c r="N705"/>
  <c r="O705"/>
  <c r="T705"/>
  <c r="X705"/>
  <c r="AA705"/>
  <c r="AC705"/>
  <c r="C721"/>
  <c r="AB721" s="1"/>
  <c r="W678"/>
  <c r="V678"/>
  <c r="S669"/>
  <c r="R669"/>
  <c r="P666"/>
  <c r="W666" s="1"/>
  <c r="S667"/>
  <c r="Z665"/>
  <c r="Y665"/>
  <c r="U665"/>
  <c r="C665" s="1"/>
  <c r="Z664"/>
  <c r="Y664"/>
  <c r="U664"/>
  <c r="C664" s="1"/>
  <c r="Z663"/>
  <c r="Y663"/>
  <c r="W663"/>
  <c r="U663"/>
  <c r="C662"/>
  <c r="Y662" s="1"/>
  <c r="C661"/>
  <c r="Y661" s="1"/>
  <c r="C660"/>
  <c r="Y660" s="1"/>
  <c r="C652"/>
  <c r="Z652" s="1"/>
  <c r="W651"/>
  <c r="C651" s="1"/>
  <c r="AB651" s="1"/>
  <c r="AB650"/>
  <c r="W650"/>
  <c r="V650"/>
  <c r="K645"/>
  <c r="C645" s="1"/>
  <c r="Z645" s="1"/>
  <c r="K643"/>
  <c r="C643" s="1"/>
  <c r="Z643" s="1"/>
  <c r="C642"/>
  <c r="AB642" s="1"/>
  <c r="S641"/>
  <c r="L641"/>
  <c r="I641"/>
  <c r="H641"/>
  <c r="G641"/>
  <c r="D641"/>
  <c r="S640"/>
  <c r="Q640"/>
  <c r="L640"/>
  <c r="I640"/>
  <c r="H640"/>
  <c r="G640"/>
  <c r="D640"/>
  <c r="C638"/>
  <c r="AB638" s="1"/>
  <c r="C636"/>
  <c r="Z636" s="1"/>
  <c r="C635"/>
  <c r="Z635" s="1"/>
  <c r="V633"/>
  <c r="C633" s="1"/>
  <c r="AB633" s="1"/>
  <c r="V631"/>
  <c r="C631" s="1"/>
  <c r="Z631" s="1"/>
  <c r="C630"/>
  <c r="Z630" s="1"/>
  <c r="V629"/>
  <c r="C629" s="1"/>
  <c r="Z629" s="1"/>
  <c r="C628"/>
  <c r="AB628" s="1"/>
  <c r="K625"/>
  <c r="C625" s="1"/>
  <c r="Z625" s="1"/>
  <c r="Z624"/>
  <c r="C624"/>
  <c r="C623"/>
  <c r="AB623" s="1"/>
  <c r="S622"/>
  <c r="L622"/>
  <c r="I622"/>
  <c r="H622"/>
  <c r="G622"/>
  <c r="D622"/>
  <c r="C621"/>
  <c r="AB621" s="1"/>
  <c r="C620"/>
  <c r="Z620" s="1"/>
  <c r="V609"/>
  <c r="C609" s="1"/>
  <c r="Z609" s="1"/>
  <c r="C589"/>
  <c r="AB589" s="1"/>
  <c r="C588"/>
  <c r="Z588" s="1"/>
  <c r="V587"/>
  <c r="L587"/>
  <c r="I587"/>
  <c r="C580"/>
  <c r="Z580" s="1"/>
  <c r="C579"/>
  <c r="Z579" s="1"/>
  <c r="C578"/>
  <c r="AB578" s="1"/>
  <c r="C577"/>
  <c r="Z577" s="1"/>
  <c r="C576"/>
  <c r="Z576" s="1"/>
  <c r="L572"/>
  <c r="I572"/>
  <c r="H572"/>
  <c r="G572"/>
  <c r="D572"/>
  <c r="L571"/>
  <c r="I571"/>
  <c r="H571"/>
  <c r="G571"/>
  <c r="D571"/>
  <c r="V570"/>
  <c r="L570"/>
  <c r="I570"/>
  <c r="H570"/>
  <c r="G570"/>
  <c r="D570"/>
  <c r="V569"/>
  <c r="S569"/>
  <c r="L569"/>
  <c r="I569"/>
  <c r="H569"/>
  <c r="G569"/>
  <c r="D569"/>
  <c r="W568"/>
  <c r="V568"/>
  <c r="L568"/>
  <c r="I568"/>
  <c r="H568"/>
  <c r="G568"/>
  <c r="D568"/>
  <c r="W567"/>
  <c r="V567"/>
  <c r="C562"/>
  <c r="Z562" s="1"/>
  <c r="C554"/>
  <c r="Z554" s="1"/>
  <c r="W546"/>
  <c r="V546"/>
  <c r="C542"/>
  <c r="Z542" s="1"/>
  <c r="C541"/>
  <c r="Z541" s="1"/>
  <c r="C540"/>
  <c r="Z540" s="1"/>
  <c r="C539"/>
  <c r="Z539" s="1"/>
  <c r="C538"/>
  <c r="Z538" s="1"/>
  <c r="C532"/>
  <c r="Z532" s="1"/>
  <c r="V529"/>
  <c r="K529"/>
  <c r="V528"/>
  <c r="K528"/>
  <c r="K527"/>
  <c r="C527" s="1"/>
  <c r="Z527" s="1"/>
  <c r="C526"/>
  <c r="Z526" s="1"/>
  <c r="C516"/>
  <c r="Z516" s="1"/>
  <c r="C515"/>
  <c r="Z515" s="1"/>
  <c r="C514"/>
  <c r="Z514" s="1"/>
  <c r="C513"/>
  <c r="Z513" s="1"/>
  <c r="C510"/>
  <c r="Z510" s="1"/>
  <c r="C509"/>
  <c r="Z509" s="1"/>
  <c r="C508"/>
  <c r="Z508" s="1"/>
  <c r="C494"/>
  <c r="AB494" s="1"/>
  <c r="K504"/>
  <c r="C504" s="1"/>
  <c r="Z504" s="1"/>
  <c r="C492"/>
  <c r="Z492" s="1"/>
  <c r="C450"/>
  <c r="Z450" s="1"/>
  <c r="C449"/>
  <c r="Z449" s="1"/>
  <c r="C447"/>
  <c r="Z447" s="1"/>
  <c r="C446"/>
  <c r="Z446" s="1"/>
  <c r="C445"/>
  <c r="AB445" s="1"/>
  <c r="C437"/>
  <c r="AB437" s="1"/>
  <c r="C436"/>
  <c r="AB436" s="1"/>
  <c r="C435"/>
  <c r="AB435" s="1"/>
  <c r="C434"/>
  <c r="AB434" s="1"/>
  <c r="C433"/>
  <c r="AB433" s="1"/>
  <c r="C431"/>
  <c r="AB431" s="1"/>
  <c r="C430"/>
  <c r="AB430" s="1"/>
  <c r="P429"/>
  <c r="W429" s="1"/>
  <c r="P428"/>
  <c r="W428" s="1"/>
  <c r="W427"/>
  <c r="V427"/>
  <c r="O426"/>
  <c r="C426" s="1"/>
  <c r="AB426" s="1"/>
  <c r="V425"/>
  <c r="L425"/>
  <c r="I425"/>
  <c r="H425"/>
  <c r="G425"/>
  <c r="D425"/>
  <c r="P424"/>
  <c r="W424" s="1"/>
  <c r="I423"/>
  <c r="W423" s="1"/>
  <c r="S422"/>
  <c r="Q422"/>
  <c r="S421"/>
  <c r="R421"/>
  <c r="Q421"/>
  <c r="S420"/>
  <c r="Q420"/>
  <c r="H419"/>
  <c r="G419"/>
  <c r="D419"/>
  <c r="S418"/>
  <c r="R418"/>
  <c r="Q418"/>
  <c r="P417"/>
  <c r="W417" s="1"/>
  <c r="C417" s="1"/>
  <c r="AB417" s="1"/>
  <c r="P416"/>
  <c r="C416" s="1"/>
  <c r="AB416" s="1"/>
  <c r="P415"/>
  <c r="W415" s="1"/>
  <c r="P414"/>
  <c r="C414" s="1"/>
  <c r="AB414" s="1"/>
  <c r="P413"/>
  <c r="C413" s="1"/>
  <c r="AB413" s="1"/>
  <c r="A413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P412"/>
  <c r="C412" s="1"/>
  <c r="AB412" s="1"/>
  <c r="C1397" l="1"/>
  <c r="AB1397"/>
  <c r="C213"/>
  <c r="AB213" s="1"/>
  <c r="C123"/>
  <c r="Z123" s="1"/>
  <c r="AB187"/>
  <c r="C191"/>
  <c r="AB191" s="1"/>
  <c r="Z480"/>
  <c r="C432"/>
  <c r="AB432" s="1"/>
  <c r="AB190"/>
  <c r="Z188"/>
  <c r="AB188" s="1"/>
  <c r="Z184"/>
  <c r="AB184" s="1"/>
  <c r="Z183"/>
  <c r="AB183" s="1"/>
  <c r="AB182"/>
  <c r="AB180"/>
  <c r="C640"/>
  <c r="AB640" s="1"/>
  <c r="C669"/>
  <c r="AB669" s="1"/>
  <c r="C678"/>
  <c r="AB678" s="1"/>
  <c r="C425"/>
  <c r="AB425" s="1"/>
  <c r="C567"/>
  <c r="AB567" s="1"/>
  <c r="C641"/>
  <c r="AB641" s="1"/>
  <c r="C650"/>
  <c r="Z650" s="1"/>
  <c r="C732"/>
  <c r="C571"/>
  <c r="AB571" s="1"/>
  <c r="W572"/>
  <c r="C572" s="1"/>
  <c r="AB572" s="1"/>
  <c r="W587"/>
  <c r="C587" s="1"/>
  <c r="AB587" s="1"/>
  <c r="Y690"/>
  <c r="Y691"/>
  <c r="Y692"/>
  <c r="C737"/>
  <c r="Y892"/>
  <c r="C1181"/>
  <c r="AB1181" s="1"/>
  <c r="W422"/>
  <c r="C422" s="1"/>
  <c r="AB422" s="1"/>
  <c r="C423"/>
  <c r="AB423" s="1"/>
  <c r="C427"/>
  <c r="AB427" s="1"/>
  <c r="C428"/>
  <c r="AB428" s="1"/>
  <c r="U705"/>
  <c r="AB787"/>
  <c r="C820"/>
  <c r="AB820" s="1"/>
  <c r="C857"/>
  <c r="AB857" s="1"/>
  <c r="Y858"/>
  <c r="Y859"/>
  <c r="Y860"/>
  <c r="Y861"/>
  <c r="Y862"/>
  <c r="Y863"/>
  <c r="Y864"/>
  <c r="Y865"/>
  <c r="Y866"/>
  <c r="Y867"/>
  <c r="Y868"/>
  <c r="C909"/>
  <c r="AB909" s="1"/>
  <c r="C976"/>
  <c r="AB976" s="1"/>
  <c r="C998"/>
  <c r="AB998" s="1"/>
  <c r="Y1050"/>
  <c r="Y1052"/>
  <c r="C528"/>
  <c r="Z528" s="1"/>
  <c r="C529"/>
  <c r="Z529" s="1"/>
  <c r="C569"/>
  <c r="AB569" s="1"/>
  <c r="W418"/>
  <c r="C418" s="1"/>
  <c r="AB418" s="1"/>
  <c r="W419"/>
  <c r="C419" s="1"/>
  <c r="AB419" s="1"/>
  <c r="W421"/>
  <c r="C421" s="1"/>
  <c r="AB421" s="1"/>
  <c r="C546"/>
  <c r="Z546" s="1"/>
  <c r="C568"/>
  <c r="AB568" s="1"/>
  <c r="C570"/>
  <c r="AB570" s="1"/>
  <c r="C622"/>
  <c r="AB622" s="1"/>
  <c r="C663"/>
  <c r="W667"/>
  <c r="C667" s="1"/>
  <c r="AB667" s="1"/>
  <c r="Y687"/>
  <c r="Y755"/>
  <c r="C788"/>
  <c r="AB788" s="1"/>
  <c r="Y793"/>
  <c r="Y796"/>
  <c r="Y803"/>
  <c r="C821"/>
  <c r="AB821" s="1"/>
  <c r="Y928"/>
  <c r="Y929"/>
  <c r="Y930"/>
  <c r="Y931"/>
  <c r="Y932"/>
  <c r="Y933"/>
  <c r="Y934"/>
  <c r="Y935"/>
  <c r="Y936"/>
  <c r="Y937"/>
  <c r="Y938"/>
  <c r="Y939"/>
  <c r="Y940"/>
  <c r="Y941"/>
  <c r="Y970"/>
  <c r="Y974"/>
  <c r="Y975"/>
  <c r="Y979"/>
  <c r="Y980"/>
  <c r="Y981"/>
  <c r="Y982"/>
  <c r="AB562"/>
  <c r="C1073"/>
  <c r="AB1073" s="1"/>
  <c r="Z1019"/>
  <c r="Z1002"/>
  <c r="Z1003"/>
  <c r="Z1004"/>
  <c r="Z948"/>
  <c r="Z949"/>
  <c r="Z906"/>
  <c r="Z907"/>
  <c r="Z908"/>
  <c r="Z910"/>
  <c r="Z911"/>
  <c r="Z912"/>
  <c r="Y887"/>
  <c r="Y890"/>
  <c r="Z853"/>
  <c r="Z854"/>
  <c r="Z855"/>
  <c r="Z838"/>
  <c r="C837"/>
  <c r="AB837" s="1"/>
  <c r="Z817"/>
  <c r="Z822"/>
  <c r="Z823"/>
  <c r="Z824"/>
  <c r="Z789"/>
  <c r="Z781"/>
  <c r="Z756"/>
  <c r="Y756"/>
  <c r="Z754"/>
  <c r="Z722"/>
  <c r="Z723"/>
  <c r="C666"/>
  <c r="AB666" s="1"/>
  <c r="Z660"/>
  <c r="Z661"/>
  <c r="Z662"/>
  <c r="W420"/>
  <c r="C420" s="1"/>
  <c r="AB420" s="1"/>
  <c r="C415"/>
  <c r="AB415" s="1"/>
  <c r="C424"/>
  <c r="AB424" s="1"/>
  <c r="C429"/>
  <c r="AB429" s="1"/>
  <c r="Y705" l="1"/>
  <c r="Z705"/>
  <c r="AC1479" l="1"/>
  <c r="U1479"/>
  <c r="U1086" s="1"/>
  <c r="T1479"/>
  <c r="T1086" s="1"/>
  <c r="C1466"/>
  <c r="Z1466" s="1"/>
  <c r="C1465"/>
  <c r="Z1465" s="1"/>
  <c r="C1464"/>
  <c r="S1450"/>
  <c r="Q1450"/>
  <c r="S1453"/>
  <c r="Q1453"/>
  <c r="M1453"/>
  <c r="P1425"/>
  <c r="P1453" s="1"/>
  <c r="C1296"/>
  <c r="Z1296" s="1"/>
  <c r="C1295"/>
  <c r="Z1295" s="1"/>
  <c r="C1294"/>
  <c r="C997"/>
  <c r="AB997" s="1"/>
  <c r="C996"/>
  <c r="AB996" s="1"/>
  <c r="C995"/>
  <c r="AB995" s="1"/>
  <c r="C994"/>
  <c r="AB994" s="1"/>
  <c r="C993"/>
  <c r="AB993" s="1"/>
  <c r="C992"/>
  <c r="AB992" s="1"/>
  <c r="C991"/>
  <c r="AB991" s="1"/>
  <c r="C990"/>
  <c r="AB990" s="1"/>
  <c r="C989"/>
  <c r="AB989" s="1"/>
  <c r="C988"/>
  <c r="AB988" s="1"/>
  <c r="C985"/>
  <c r="Z985" s="1"/>
  <c r="Z984"/>
  <c r="Y984"/>
  <c r="W984"/>
  <c r="V984"/>
  <c r="V947"/>
  <c r="L947"/>
  <c r="I947"/>
  <c r="H947"/>
  <c r="G947"/>
  <c r="D947"/>
  <c r="C883"/>
  <c r="AB883" s="1"/>
  <c r="C882"/>
  <c r="AB882" s="1"/>
  <c r="R836"/>
  <c r="W836" s="1"/>
  <c r="R835"/>
  <c r="W828"/>
  <c r="C828" s="1"/>
  <c r="AB828" s="1"/>
  <c r="W827"/>
  <c r="C827" s="1"/>
  <c r="AB827" s="1"/>
  <c r="C826"/>
  <c r="Y826" s="1"/>
  <c r="P825"/>
  <c r="W825" s="1"/>
  <c r="Z816"/>
  <c r="Y816"/>
  <c r="W816"/>
  <c r="V816"/>
  <c r="C815"/>
  <c r="Y815" s="1"/>
  <c r="C814"/>
  <c r="AB814" s="1"/>
  <c r="C813"/>
  <c r="AB813" s="1"/>
  <c r="C812"/>
  <c r="AB812" s="1"/>
  <c r="C811"/>
  <c r="AB811" s="1"/>
  <c r="Z809"/>
  <c r="Y809"/>
  <c r="W809"/>
  <c r="V809"/>
  <c r="Z808"/>
  <c r="Y808"/>
  <c r="W808"/>
  <c r="V808"/>
  <c r="Z807"/>
  <c r="Y807"/>
  <c r="W807"/>
  <c r="V807"/>
  <c r="C806"/>
  <c r="AB806" s="1"/>
  <c r="C801"/>
  <c r="AB801" s="1"/>
  <c r="C800"/>
  <c r="Z800" s="1"/>
  <c r="C792"/>
  <c r="Y792" s="1"/>
  <c r="C791"/>
  <c r="AB791" s="1"/>
  <c r="C790"/>
  <c r="AB790" s="1"/>
  <c r="C782"/>
  <c r="AB782" s="1"/>
  <c r="C711"/>
  <c r="Z711" s="1"/>
  <c r="Z715" s="1"/>
  <c r="AB611"/>
  <c r="W611"/>
  <c r="V611"/>
  <c r="C610"/>
  <c r="AB610" s="1"/>
  <c r="C606"/>
  <c r="AB606" s="1"/>
  <c r="C605"/>
  <c r="AB605" s="1"/>
  <c r="W602"/>
  <c r="C602" s="1"/>
  <c r="AB602" s="1"/>
  <c r="C601"/>
  <c r="AB601" s="1"/>
  <c r="C600"/>
  <c r="AB600" s="1"/>
  <c r="C593"/>
  <c r="Z593" s="1"/>
  <c r="C592"/>
  <c r="AB592" s="1"/>
  <c r="W591"/>
  <c r="C591" s="1"/>
  <c r="AB591" s="1"/>
  <c r="AB575"/>
  <c r="W575"/>
  <c r="V575"/>
  <c r="V573"/>
  <c r="L573"/>
  <c r="I573"/>
  <c r="G573"/>
  <c r="D573"/>
  <c r="C537"/>
  <c r="Z537" s="1"/>
  <c r="C536"/>
  <c r="Z536" s="1"/>
  <c r="O535"/>
  <c r="C535" s="1"/>
  <c r="AB535" s="1"/>
  <c r="C534"/>
  <c r="Z534" s="1"/>
  <c r="C533"/>
  <c r="AB533" s="1"/>
  <c r="C1049"/>
  <c r="AB1049" s="1"/>
  <c r="C1048"/>
  <c r="P1015"/>
  <c r="W1015" s="1"/>
  <c r="C1014"/>
  <c r="AB1014" s="1"/>
  <c r="L1013"/>
  <c r="I1013"/>
  <c r="H1013"/>
  <c r="G1013"/>
  <c r="D1013"/>
  <c r="S1012"/>
  <c r="R1012"/>
  <c r="Q1012"/>
  <c r="W1011"/>
  <c r="C1011" s="1"/>
  <c r="AB1011" s="1"/>
  <c r="C1009"/>
  <c r="AB1009" s="1"/>
  <c r="C1007"/>
  <c r="AB1007" s="1"/>
  <c r="C746"/>
  <c r="AB746" s="1"/>
  <c r="C745"/>
  <c r="AB745" s="1"/>
  <c r="R744"/>
  <c r="L744"/>
  <c r="I744"/>
  <c r="H744"/>
  <c r="G744"/>
  <c r="D744"/>
  <c r="C743"/>
  <c r="AB743" s="1"/>
  <c r="C742"/>
  <c r="AB742" s="1"/>
  <c r="W741"/>
  <c r="C741" s="1"/>
  <c r="AB741" s="1"/>
  <c r="C720"/>
  <c r="AB720" s="1"/>
  <c r="C719"/>
  <c r="AB719" s="1"/>
  <c r="C718"/>
  <c r="AB718" s="1"/>
  <c r="L717"/>
  <c r="I717"/>
  <c r="H717"/>
  <c r="G717"/>
  <c r="D717"/>
  <c r="W679"/>
  <c r="V679"/>
  <c r="W677"/>
  <c r="V677"/>
  <c r="W676"/>
  <c r="V676"/>
  <c r="W675"/>
  <c r="C675" s="1"/>
  <c r="AB675" s="1"/>
  <c r="C674"/>
  <c r="AB674" s="1"/>
  <c r="C673"/>
  <c r="AB673" s="1"/>
  <c r="P672"/>
  <c r="W672" s="1"/>
  <c r="P671"/>
  <c r="W671" s="1"/>
  <c r="P670"/>
  <c r="S668"/>
  <c r="S705" s="1"/>
  <c r="R668"/>
  <c r="R705" s="1"/>
  <c r="Q668"/>
  <c r="Q705" s="1"/>
  <c r="C483"/>
  <c r="AB483" s="1"/>
  <c r="C478"/>
  <c r="AB478" s="1"/>
  <c r="C477"/>
  <c r="AB477" s="1"/>
  <c r="C476"/>
  <c r="AB476" s="1"/>
  <c r="C475"/>
  <c r="AB475" s="1"/>
  <c r="C474"/>
  <c r="AB474" s="1"/>
  <c r="C473"/>
  <c r="AB473" s="1"/>
  <c r="C472"/>
  <c r="AB472" s="1"/>
  <c r="C471"/>
  <c r="AB471" s="1"/>
  <c r="C470"/>
  <c r="AB470" s="1"/>
  <c r="C469"/>
  <c r="AB469" s="1"/>
  <c r="C468"/>
  <c r="AB468" s="1"/>
  <c r="C467"/>
  <c r="AB467" s="1"/>
  <c r="Z1464" l="1"/>
  <c r="Z1467" s="1"/>
  <c r="C1467"/>
  <c r="I1453"/>
  <c r="W1425"/>
  <c r="C984"/>
  <c r="AB984" s="1"/>
  <c r="Z1294"/>
  <c r="Z1315" s="1"/>
  <c r="C807"/>
  <c r="C808"/>
  <c r="AB808" s="1"/>
  <c r="C809"/>
  <c r="C816"/>
  <c r="W670"/>
  <c r="C670" s="1"/>
  <c r="AB670" s="1"/>
  <c r="P705"/>
  <c r="V705"/>
  <c r="C1425"/>
  <c r="Y1464"/>
  <c r="Y1465"/>
  <c r="Y1466"/>
  <c r="Y985"/>
  <c r="W1450"/>
  <c r="C1450" s="1"/>
  <c r="AB1450" s="1"/>
  <c r="Y1294"/>
  <c r="Y1295"/>
  <c r="Y1296"/>
  <c r="W573"/>
  <c r="C573" s="1"/>
  <c r="AB573" s="1"/>
  <c r="C836"/>
  <c r="AB836" s="1"/>
  <c r="W835"/>
  <c r="C835" s="1"/>
  <c r="AB835" s="1"/>
  <c r="W947"/>
  <c r="C947" s="1"/>
  <c r="AB947" s="1"/>
  <c r="C575"/>
  <c r="Z575" s="1"/>
  <c r="Z815"/>
  <c r="Z826"/>
  <c r="C825"/>
  <c r="AB825" s="1"/>
  <c r="Y800"/>
  <c r="Z792"/>
  <c r="C611"/>
  <c r="Z611" s="1"/>
  <c r="C668"/>
  <c r="W744"/>
  <c r="C744" s="1"/>
  <c r="AB744" s="1"/>
  <c r="W1012"/>
  <c r="C1012" s="1"/>
  <c r="AB1012" s="1"/>
  <c r="C1015"/>
  <c r="AB1015" s="1"/>
  <c r="C671"/>
  <c r="AB671" s="1"/>
  <c r="C676"/>
  <c r="AB676" s="1"/>
  <c r="C677"/>
  <c r="AB677" s="1"/>
  <c r="C679"/>
  <c r="AB679" s="1"/>
  <c r="C672"/>
  <c r="AB672" s="1"/>
  <c r="W717"/>
  <c r="C717" s="1"/>
  <c r="AB717" s="1"/>
  <c r="W1013"/>
  <c r="C1013" s="1"/>
  <c r="AB1013" s="1"/>
  <c r="Y1467" l="1"/>
  <c r="Y1315"/>
  <c r="W1453"/>
  <c r="C1453"/>
  <c r="AB1425"/>
  <c r="W705"/>
  <c r="AB668"/>
  <c r="AB705" s="1"/>
  <c r="C705"/>
  <c r="AB1453" l="1"/>
  <c r="V443"/>
  <c r="C613" l="1"/>
  <c r="AB613" s="1"/>
  <c r="C614"/>
  <c r="AB614" s="1"/>
  <c r="T11" l="1"/>
  <c r="U11"/>
  <c r="O1038" l="1"/>
  <c r="C1038" s="1"/>
  <c r="AB1038" s="1"/>
  <c r="W1078" l="1"/>
  <c r="C1078" s="1"/>
  <c r="AB1078" s="1"/>
  <c r="D1079"/>
  <c r="E1079"/>
  <c r="F1079"/>
  <c r="G1079"/>
  <c r="H1079"/>
  <c r="I1079"/>
  <c r="J1079"/>
  <c r="K1079"/>
  <c r="L1079"/>
  <c r="M1079"/>
  <c r="N1079"/>
  <c r="O1079"/>
  <c r="P1079"/>
  <c r="Q1079"/>
  <c r="S1079"/>
  <c r="T1079"/>
  <c r="U1079"/>
  <c r="V1079"/>
  <c r="X1079"/>
  <c r="Y1079"/>
  <c r="Z1079"/>
  <c r="AA1079"/>
  <c r="W1074"/>
  <c r="C1074" s="1"/>
  <c r="D1075"/>
  <c r="E1075"/>
  <c r="F1075"/>
  <c r="G1075"/>
  <c r="H1075"/>
  <c r="I1075"/>
  <c r="J1075"/>
  <c r="K1075"/>
  <c r="L1075"/>
  <c r="M1075"/>
  <c r="N1075"/>
  <c r="P1075"/>
  <c r="Q1075"/>
  <c r="R1075"/>
  <c r="S1075"/>
  <c r="T1075"/>
  <c r="U1075"/>
  <c r="V1075"/>
  <c r="X1075"/>
  <c r="Y1075"/>
  <c r="Z1075"/>
  <c r="AA1075"/>
  <c r="AB1074" l="1"/>
  <c r="V486" l="1"/>
  <c r="W300" l="1"/>
  <c r="W549" l="1"/>
  <c r="E1020" l="1"/>
  <c r="F1020"/>
  <c r="J1020"/>
  <c r="K1020"/>
  <c r="M1020"/>
  <c r="N1020"/>
  <c r="O1020"/>
  <c r="T1020"/>
  <c r="U1020"/>
  <c r="V1020"/>
  <c r="X1020"/>
  <c r="Y1020"/>
  <c r="AA1020"/>
  <c r="AC1020"/>
  <c r="E999"/>
  <c r="F999"/>
  <c r="H999"/>
  <c r="I999"/>
  <c r="J999"/>
  <c r="K999"/>
  <c r="L999"/>
  <c r="M999"/>
  <c r="N999"/>
  <c r="O999"/>
  <c r="P999"/>
  <c r="Q999"/>
  <c r="S999"/>
  <c r="T999"/>
  <c r="U999"/>
  <c r="V999"/>
  <c r="W999"/>
  <c r="X999"/>
  <c r="Y999"/>
  <c r="Z999"/>
  <c r="AA999"/>
  <c r="AC999"/>
  <c r="D1053" l="1"/>
  <c r="E1053"/>
  <c r="F1053"/>
  <c r="G1053"/>
  <c r="H1053"/>
  <c r="I1053"/>
  <c r="J1053"/>
  <c r="K1053"/>
  <c r="L1053"/>
  <c r="M1053"/>
  <c r="N1053"/>
  <c r="O1053"/>
  <c r="P1053"/>
  <c r="Q1053"/>
  <c r="R1053"/>
  <c r="S1053"/>
  <c r="T1053"/>
  <c r="U1053"/>
  <c r="V1053"/>
  <c r="W1053"/>
  <c r="X1053"/>
  <c r="Y1053"/>
  <c r="Z1053"/>
  <c r="AA1053"/>
  <c r="AC1053"/>
  <c r="D1005"/>
  <c r="E1005"/>
  <c r="E1021" s="1"/>
  <c r="F1005"/>
  <c r="F1021" s="1"/>
  <c r="G1005"/>
  <c r="H1005"/>
  <c r="I1005"/>
  <c r="J1005"/>
  <c r="J1021" s="1"/>
  <c r="K1005"/>
  <c r="K1021" s="1"/>
  <c r="L1005"/>
  <c r="M1005"/>
  <c r="M1021" s="1"/>
  <c r="N1005"/>
  <c r="N1021" s="1"/>
  <c r="O1005"/>
  <c r="O1021" s="1"/>
  <c r="P1005"/>
  <c r="Q1005"/>
  <c r="R1005"/>
  <c r="S1005"/>
  <c r="T1005"/>
  <c r="T1021" s="1"/>
  <c r="U1005"/>
  <c r="U1021" s="1"/>
  <c r="V1005"/>
  <c r="V1021" s="1"/>
  <c r="W1005"/>
  <c r="X1005"/>
  <c r="X1021" s="1"/>
  <c r="Y1005"/>
  <c r="Y1021" s="1"/>
  <c r="Z1005"/>
  <c r="AA1005"/>
  <c r="AA1021" s="1"/>
  <c r="AC1005"/>
  <c r="D830"/>
  <c r="E830"/>
  <c r="G830"/>
  <c r="H830"/>
  <c r="I830"/>
  <c r="J830"/>
  <c r="K830"/>
  <c r="L830"/>
  <c r="M830"/>
  <c r="N830"/>
  <c r="Q830"/>
  <c r="R830"/>
  <c r="S830"/>
  <c r="T830"/>
  <c r="U830"/>
  <c r="X830"/>
  <c r="Y830"/>
  <c r="Z830"/>
  <c r="AA830"/>
  <c r="D804"/>
  <c r="E804"/>
  <c r="F804"/>
  <c r="G804"/>
  <c r="H804"/>
  <c r="I804"/>
  <c r="J804"/>
  <c r="K804"/>
  <c r="L804"/>
  <c r="M804"/>
  <c r="N804"/>
  <c r="O804"/>
  <c r="P804"/>
  <c r="Q804"/>
  <c r="R804"/>
  <c r="S804"/>
  <c r="T804"/>
  <c r="U804"/>
  <c r="V804"/>
  <c r="W804"/>
  <c r="X804"/>
  <c r="Y804"/>
  <c r="Z804"/>
  <c r="AA804"/>
  <c r="AC804"/>
  <c r="E773"/>
  <c r="F773"/>
  <c r="J773"/>
  <c r="K773"/>
  <c r="M773"/>
  <c r="N773"/>
  <c r="O773"/>
  <c r="P773"/>
  <c r="Q773"/>
  <c r="S773"/>
  <c r="T773"/>
  <c r="U773"/>
  <c r="V773"/>
  <c r="X773"/>
  <c r="Y773"/>
  <c r="Z773"/>
  <c r="AA773"/>
  <c r="AC773"/>
  <c r="C1005" l="1"/>
  <c r="AB1005"/>
  <c r="E977"/>
  <c r="J977"/>
  <c r="K977"/>
  <c r="M977"/>
  <c r="N977"/>
  <c r="O977"/>
  <c r="P977"/>
  <c r="Q977"/>
  <c r="T977"/>
  <c r="T410" s="1"/>
  <c r="T10" s="1"/>
  <c r="U977"/>
  <c r="U410" s="1"/>
  <c r="U10" s="1"/>
  <c r="X977"/>
  <c r="Y977"/>
  <c r="AA977"/>
  <c r="AC977"/>
  <c r="A440" l="1"/>
  <c r="W1028" l="1"/>
  <c r="W1027"/>
  <c r="V1062" l="1"/>
  <c r="C484" l="1"/>
  <c r="AC830"/>
  <c r="E656" l="1"/>
  <c r="F656"/>
  <c r="J656"/>
  <c r="N656"/>
  <c r="X656"/>
  <c r="Y656"/>
  <c r="AA656"/>
  <c r="AC656"/>
  <c r="C487"/>
  <c r="AB487" s="1"/>
  <c r="C491"/>
  <c r="AB491" s="1"/>
  <c r="C506"/>
  <c r="AB506" s="1"/>
  <c r="C634"/>
  <c r="AB634" s="1"/>
  <c r="C560"/>
  <c r="AB560" s="1"/>
  <c r="C654"/>
  <c r="AB654" s="1"/>
  <c r="C655"/>
  <c r="AB655" s="1"/>
  <c r="C565"/>
  <c r="AB565" s="1"/>
  <c r="C559"/>
  <c r="AB559" s="1"/>
  <c r="C557"/>
  <c r="AB557" s="1"/>
  <c r="C531"/>
  <c r="AB531" s="1"/>
  <c r="C505"/>
  <c r="AB505" s="1"/>
  <c r="C490"/>
  <c r="AB490" s="1"/>
  <c r="C489"/>
  <c r="AB489" s="1"/>
  <c r="C530"/>
  <c r="AB530" s="1"/>
  <c r="C558" l="1"/>
  <c r="AB558" s="1"/>
  <c r="C545"/>
  <c r="AB545" s="1"/>
  <c r="O656" l="1"/>
  <c r="C561"/>
  <c r="AB561" s="1"/>
  <c r="W646"/>
  <c r="V646"/>
  <c r="C615"/>
  <c r="AB615" s="1"/>
  <c r="C553"/>
  <c r="AB553" s="1"/>
  <c r="C552"/>
  <c r="AB552" s="1"/>
  <c r="C646" l="1"/>
  <c r="AB646" s="1"/>
  <c r="C551"/>
  <c r="AB551" s="1"/>
  <c r="W550"/>
  <c r="V550"/>
  <c r="C612"/>
  <c r="AB612" s="1"/>
  <c r="C550" l="1"/>
  <c r="AB550" s="1"/>
  <c r="E1046"/>
  <c r="F1046"/>
  <c r="I1046"/>
  <c r="J1046"/>
  <c r="K1046"/>
  <c r="L1046"/>
  <c r="M1046"/>
  <c r="N1046"/>
  <c r="Q1046"/>
  <c r="R1046"/>
  <c r="S1046"/>
  <c r="V1046"/>
  <c r="X1046"/>
  <c r="Y1046"/>
  <c r="Z1046"/>
  <c r="AA1046"/>
  <c r="AC1046"/>
  <c r="D1030"/>
  <c r="E1030"/>
  <c r="F1030"/>
  <c r="G1030"/>
  <c r="H1030"/>
  <c r="I1030"/>
  <c r="J1030"/>
  <c r="K1030"/>
  <c r="L1030"/>
  <c r="M1030"/>
  <c r="N1030"/>
  <c r="O1030"/>
  <c r="P1030"/>
  <c r="Q1030"/>
  <c r="R1030"/>
  <c r="V1030"/>
  <c r="X1030"/>
  <c r="Y1030"/>
  <c r="Z1030"/>
  <c r="AA1030"/>
  <c r="AC1030"/>
  <c r="C1041"/>
  <c r="AB1041" s="1"/>
  <c r="C1034"/>
  <c r="AB1034" s="1"/>
  <c r="O1037"/>
  <c r="C1037" s="1"/>
  <c r="AB1037" s="1"/>
  <c r="C1039"/>
  <c r="AB1039" s="1"/>
  <c r="C1043"/>
  <c r="AB1043" s="1"/>
  <c r="C1033"/>
  <c r="AB1033" s="1"/>
  <c r="C1035" l="1"/>
  <c r="AB1035" s="1"/>
  <c r="C1061"/>
  <c r="AB1061" s="1"/>
  <c r="AB1053"/>
  <c r="O1066"/>
  <c r="C1066" s="1"/>
  <c r="O1065"/>
  <c r="C1065" s="1"/>
  <c r="AC1068"/>
  <c r="AA1067"/>
  <c r="Z1067"/>
  <c r="Y1067"/>
  <c r="X1067"/>
  <c r="W1067"/>
  <c r="V1067"/>
  <c r="S1067"/>
  <c r="R1067"/>
  <c r="Q1067"/>
  <c r="P1067"/>
  <c r="N1067"/>
  <c r="M1067"/>
  <c r="L1067"/>
  <c r="K1067"/>
  <c r="J1067"/>
  <c r="I1067"/>
  <c r="H1067"/>
  <c r="G1067"/>
  <c r="F1067"/>
  <c r="E1067"/>
  <c r="D1067"/>
  <c r="C1042"/>
  <c r="AB1042" s="1"/>
  <c r="AB1065" l="1"/>
  <c r="C1067"/>
  <c r="AB1066"/>
  <c r="O1067"/>
  <c r="C1028"/>
  <c r="AB1028" s="1"/>
  <c r="C1027"/>
  <c r="O1036"/>
  <c r="P1032"/>
  <c r="AB1067" l="1"/>
  <c r="C1036"/>
  <c r="AB1036" s="1"/>
  <c r="O1046"/>
  <c r="W1032"/>
  <c r="C1032" s="1"/>
  <c r="AB1027"/>
  <c r="AB1032" l="1"/>
  <c r="V977" l="1"/>
  <c r="F977" l="1"/>
  <c r="F830"/>
  <c r="V830"/>
  <c r="C710"/>
  <c r="AB710" s="1"/>
  <c r="C713"/>
  <c r="AB713" s="1"/>
  <c r="C714"/>
  <c r="AB714" s="1"/>
  <c r="O830" l="1"/>
  <c r="V1083" l="1"/>
  <c r="E438" l="1"/>
  <c r="F438"/>
  <c r="J438"/>
  <c r="K438"/>
  <c r="M438"/>
  <c r="N438"/>
  <c r="X438"/>
  <c r="Y438"/>
  <c r="Z438"/>
  <c r="AA438"/>
  <c r="AC438"/>
  <c r="D455"/>
  <c r="E455"/>
  <c r="F455"/>
  <c r="G455"/>
  <c r="H455"/>
  <c r="I455"/>
  <c r="J455"/>
  <c r="K455"/>
  <c r="L455"/>
  <c r="M455"/>
  <c r="N455"/>
  <c r="O455"/>
  <c r="Q455"/>
  <c r="S455"/>
  <c r="X455"/>
  <c r="Y455"/>
  <c r="AA455"/>
  <c r="AC455"/>
  <c r="D465"/>
  <c r="E465"/>
  <c r="F465"/>
  <c r="G465"/>
  <c r="H465"/>
  <c r="I465"/>
  <c r="J465"/>
  <c r="K465"/>
  <c r="L465"/>
  <c r="M465"/>
  <c r="N465"/>
  <c r="O465"/>
  <c r="R465"/>
  <c r="S465"/>
  <c r="V465"/>
  <c r="X465"/>
  <c r="Y465"/>
  <c r="Z465"/>
  <c r="AA465"/>
  <c r="AC465"/>
  <c r="D484"/>
  <c r="E484"/>
  <c r="F484"/>
  <c r="G484"/>
  <c r="H484"/>
  <c r="I484"/>
  <c r="J484"/>
  <c r="K484"/>
  <c r="L484"/>
  <c r="M484"/>
  <c r="N484"/>
  <c r="O484"/>
  <c r="P484"/>
  <c r="Q484"/>
  <c r="R484"/>
  <c r="S484"/>
  <c r="X484"/>
  <c r="Y484"/>
  <c r="Z484"/>
  <c r="AA484"/>
  <c r="AC484"/>
  <c r="C459" l="1"/>
  <c r="AB459" s="1"/>
  <c r="C461"/>
  <c r="AB461" s="1"/>
  <c r="C460"/>
  <c r="AB460" s="1"/>
  <c r="C451"/>
  <c r="AB451" s="1"/>
  <c r="C454"/>
  <c r="AB454" s="1"/>
  <c r="C453"/>
  <c r="C452"/>
  <c r="AB452" l="1"/>
  <c r="AB453"/>
  <c r="W484"/>
  <c r="V484"/>
  <c r="V438" l="1"/>
  <c r="O438" l="1"/>
  <c r="K656" l="1"/>
  <c r="I649" l="1"/>
  <c r="C495" l="1"/>
  <c r="Z495" s="1"/>
  <c r="P251" l="1"/>
  <c r="Q252"/>
  <c r="S252"/>
  <c r="P253"/>
  <c r="Q253"/>
  <c r="R253"/>
  <c r="S253"/>
  <c r="P254"/>
  <c r="W254" s="1"/>
  <c r="C254" s="1"/>
  <c r="AB254" s="1"/>
  <c r="P255"/>
  <c r="W255" s="1"/>
  <c r="C255" s="1"/>
  <c r="AB255" s="1"/>
  <c r="C256"/>
  <c r="Z256" s="1"/>
  <c r="C257"/>
  <c r="Z257" s="1"/>
  <c r="C258"/>
  <c r="Z258" s="1"/>
  <c r="P259" l="1"/>
  <c r="W252"/>
  <c r="C252" s="1"/>
  <c r="AB252" s="1"/>
  <c r="C253"/>
  <c r="AB253" s="1"/>
  <c r="W251"/>
  <c r="C251" s="1"/>
  <c r="AB251" s="1"/>
  <c r="S977" l="1"/>
  <c r="C443" l="1"/>
  <c r="Z443" s="1"/>
  <c r="C440"/>
  <c r="D647"/>
  <c r="G647"/>
  <c r="H647"/>
  <c r="I647"/>
  <c r="L647"/>
  <c r="C549"/>
  <c r="Z549" s="1"/>
  <c r="V455" l="1"/>
  <c r="Z440"/>
  <c r="W647"/>
  <c r="C647" s="1"/>
  <c r="AB647" s="1"/>
  <c r="C555" l="1"/>
  <c r="Z555" s="1"/>
  <c r="C493"/>
  <c r="Z493" s="1"/>
  <c r="C350" l="1"/>
  <c r="Z350" s="1"/>
  <c r="D1025" l="1"/>
  <c r="E1025"/>
  <c r="F1025"/>
  <c r="G1025"/>
  <c r="H1025"/>
  <c r="I1025"/>
  <c r="J1025"/>
  <c r="K1025"/>
  <c r="L1025"/>
  <c r="M1025"/>
  <c r="N1025"/>
  <c r="O1025"/>
  <c r="P1025"/>
  <c r="Q1025"/>
  <c r="R1025"/>
  <c r="S1025"/>
  <c r="V1025"/>
  <c r="W1025"/>
  <c r="X1025"/>
  <c r="Y1025"/>
  <c r="Z1025"/>
  <c r="AA1025"/>
  <c r="AB1025"/>
  <c r="C1025"/>
  <c r="W235" l="1"/>
  <c r="C236"/>
  <c r="AB236" s="1"/>
  <c r="C235" l="1"/>
  <c r="AB235" s="1"/>
  <c r="C1053"/>
  <c r="AB369"/>
  <c r="AA369"/>
  <c r="Z369"/>
  <c r="Y369"/>
  <c r="X369"/>
  <c r="W369"/>
  <c r="V369"/>
  <c r="S369"/>
  <c r="R369"/>
  <c r="Q369"/>
  <c r="P369"/>
  <c r="O369"/>
  <c r="M369"/>
  <c r="L369"/>
  <c r="K369"/>
  <c r="J369"/>
  <c r="I369"/>
  <c r="H369"/>
  <c r="G369"/>
  <c r="F369"/>
  <c r="E369"/>
  <c r="D369"/>
  <c r="C368"/>
  <c r="C369" s="1"/>
  <c r="AA360"/>
  <c r="Y360"/>
  <c r="X360"/>
  <c r="W360"/>
  <c r="V360"/>
  <c r="S360"/>
  <c r="W464"/>
  <c r="Z1020" l="1"/>
  <c r="Z1021" s="1"/>
  <c r="C464"/>
  <c r="AB464" s="1"/>
  <c r="C51" l="1"/>
  <c r="C52"/>
  <c r="P55" l="1"/>
  <c r="D55"/>
  <c r="E55"/>
  <c r="F55"/>
  <c r="G55"/>
  <c r="H55"/>
  <c r="I55"/>
  <c r="J55"/>
  <c r="K55"/>
  <c r="L55"/>
  <c r="M55"/>
  <c r="N55"/>
  <c r="O55"/>
  <c r="Q55"/>
  <c r="R55"/>
  <c r="S55"/>
  <c r="X55"/>
  <c r="Y55"/>
  <c r="Z55"/>
  <c r="AA55"/>
  <c r="AC55"/>
  <c r="AA259" l="1"/>
  <c r="X259"/>
  <c r="Y259"/>
  <c r="C390"/>
  <c r="AB390" s="1"/>
  <c r="D391"/>
  <c r="E391"/>
  <c r="F391"/>
  <c r="G391"/>
  <c r="H391"/>
  <c r="I391"/>
  <c r="J391"/>
  <c r="K391"/>
  <c r="L391"/>
  <c r="M391"/>
  <c r="N391"/>
  <c r="P391"/>
  <c r="Q391"/>
  <c r="R391"/>
  <c r="S391"/>
  <c r="V391"/>
  <c r="X391"/>
  <c r="Y391"/>
  <c r="Z391"/>
  <c r="AA391"/>
  <c r="AC391"/>
  <c r="Q346" l="1"/>
  <c r="R346"/>
  <c r="S346"/>
  <c r="V346"/>
  <c r="W346"/>
  <c r="X346"/>
  <c r="Y346"/>
  <c r="AA346"/>
  <c r="AB346"/>
  <c r="P346"/>
  <c r="C345"/>
  <c r="Z345" s="1"/>
  <c r="Z346" s="1"/>
  <c r="AC354"/>
  <c r="C346" l="1"/>
  <c r="AA292"/>
  <c r="D395"/>
  <c r="E395"/>
  <c r="F395"/>
  <c r="G395"/>
  <c r="H395"/>
  <c r="I395"/>
  <c r="J395"/>
  <c r="K395"/>
  <c r="L395"/>
  <c r="M395"/>
  <c r="N395"/>
  <c r="O395"/>
  <c r="P395"/>
  <c r="Q395"/>
  <c r="R395"/>
  <c r="V395"/>
  <c r="X395"/>
  <c r="Y395"/>
  <c r="Z395"/>
  <c r="AA395"/>
  <c r="C394"/>
  <c r="AB394" s="1"/>
  <c r="Z455" l="1"/>
  <c r="C50"/>
  <c r="AB52" l="1"/>
  <c r="C53"/>
  <c r="AB53" s="1"/>
  <c r="V54"/>
  <c r="C54" s="1"/>
  <c r="AB54" s="1"/>
  <c r="V49"/>
  <c r="C49" l="1"/>
  <c r="V55"/>
  <c r="V292"/>
  <c r="C288"/>
  <c r="Z288" s="1"/>
  <c r="C289"/>
  <c r="Z289" s="1"/>
  <c r="C290"/>
  <c r="Z290" s="1"/>
  <c r="C291"/>
  <c r="Z291" s="1"/>
  <c r="V259" l="1"/>
  <c r="Z259" l="1"/>
  <c r="C341" l="1"/>
  <c r="AB51" l="1"/>
  <c r="C407" l="1"/>
  <c r="Z407" s="1"/>
  <c r="D408"/>
  <c r="E408"/>
  <c r="F408"/>
  <c r="G408"/>
  <c r="H408"/>
  <c r="I408"/>
  <c r="J408"/>
  <c r="K408"/>
  <c r="L408"/>
  <c r="M408"/>
  <c r="N408"/>
  <c r="O408"/>
  <c r="P408"/>
  <c r="Q408"/>
  <c r="R408"/>
  <c r="S408"/>
  <c r="V408"/>
  <c r="X408"/>
  <c r="Y408"/>
  <c r="AA408"/>
  <c r="AC408"/>
  <c r="C214" l="1"/>
  <c r="Z214" s="1"/>
  <c r="C120"/>
  <c r="Z120" s="1"/>
  <c r="C67"/>
  <c r="Z67" s="1"/>
  <c r="C63"/>
  <c r="Z63" s="1"/>
  <c r="C401"/>
  <c r="Z401" s="1"/>
  <c r="C198" l="1"/>
  <c r="Z198" s="1"/>
  <c r="S383" l="1"/>
  <c r="V383"/>
  <c r="W383"/>
  <c r="X383"/>
  <c r="Y383"/>
  <c r="Z383"/>
  <c r="AA383"/>
  <c r="AB383"/>
  <c r="D383"/>
  <c r="E383"/>
  <c r="F383"/>
  <c r="G383"/>
  <c r="H383"/>
  <c r="I383"/>
  <c r="J383"/>
  <c r="K383"/>
  <c r="L383"/>
  <c r="M383"/>
  <c r="N383"/>
  <c r="O383"/>
  <c r="P383"/>
  <c r="Q383"/>
  <c r="R383"/>
  <c r="C383"/>
  <c r="V215" l="1"/>
  <c r="C158" l="1"/>
  <c r="Z158" s="1"/>
  <c r="C349" l="1"/>
  <c r="Z349" s="1"/>
  <c r="AC384" l="1"/>
  <c r="G353" l="1"/>
  <c r="I353"/>
  <c r="J353"/>
  <c r="K353"/>
  <c r="M353"/>
  <c r="N353"/>
  <c r="O353"/>
  <c r="Q353"/>
  <c r="Q354" s="1"/>
  <c r="S353"/>
  <c r="S354" s="1"/>
  <c r="V353"/>
  <c r="V354" s="1"/>
  <c r="X353"/>
  <c r="X354" s="1"/>
  <c r="Y353"/>
  <c r="Y354" s="1"/>
  <c r="AA353"/>
  <c r="AA354" s="1"/>
  <c r="F353"/>
  <c r="E353"/>
  <c r="C207" l="1"/>
  <c r="Z207" s="1"/>
  <c r="V66"/>
  <c r="O66"/>
  <c r="W66" s="1"/>
  <c r="E249"/>
  <c r="F249"/>
  <c r="J249"/>
  <c r="N249"/>
  <c r="Y249"/>
  <c r="AA249"/>
  <c r="AC249"/>
  <c r="V248"/>
  <c r="O248"/>
  <c r="W248" s="1"/>
  <c r="V247"/>
  <c r="O247"/>
  <c r="W247" s="1"/>
  <c r="V246"/>
  <c r="O246"/>
  <c r="AB246" s="1"/>
  <c r="C234"/>
  <c r="AB234" s="1"/>
  <c r="AB233"/>
  <c r="C233"/>
  <c r="V232"/>
  <c r="O232"/>
  <c r="W232" s="1"/>
  <c r="V231"/>
  <c r="O231"/>
  <c r="O215"/>
  <c r="W215" s="1"/>
  <c r="V209"/>
  <c r="O209"/>
  <c r="W209" s="1"/>
  <c r="C211"/>
  <c r="Z211" s="1"/>
  <c r="V206"/>
  <c r="O206"/>
  <c r="W206" s="1"/>
  <c r="V195"/>
  <c r="O195"/>
  <c r="W195" s="1"/>
  <c r="V192"/>
  <c r="O192"/>
  <c r="W192" s="1"/>
  <c r="V178"/>
  <c r="O178"/>
  <c r="W178" s="1"/>
  <c r="V177"/>
  <c r="O177"/>
  <c r="V176"/>
  <c r="O176"/>
  <c r="W176" s="1"/>
  <c r="V175"/>
  <c r="O175"/>
  <c r="V174"/>
  <c r="O174"/>
  <c r="W174" s="1"/>
  <c r="V173"/>
  <c r="O173"/>
  <c r="V172"/>
  <c r="O172"/>
  <c r="W172" s="1"/>
  <c r="V171"/>
  <c r="O171"/>
  <c r="W171" s="1"/>
  <c r="V167"/>
  <c r="O167"/>
  <c r="W167" s="1"/>
  <c r="V166"/>
  <c r="O166"/>
  <c r="V165"/>
  <c r="O165"/>
  <c r="W165" s="1"/>
  <c r="V164"/>
  <c r="O164"/>
  <c r="V163"/>
  <c r="O163"/>
  <c r="W163" s="1"/>
  <c r="V162"/>
  <c r="O162"/>
  <c r="V161"/>
  <c r="O161"/>
  <c r="W161" s="1"/>
  <c r="V160"/>
  <c r="O160"/>
  <c r="V159"/>
  <c r="O159"/>
  <c r="W159" s="1"/>
  <c r="V156"/>
  <c r="O156"/>
  <c r="W156" s="1"/>
  <c r="V155"/>
  <c r="O155"/>
  <c r="V154"/>
  <c r="O154"/>
  <c r="W154" s="1"/>
  <c r="V153"/>
  <c r="O153"/>
  <c r="V152"/>
  <c r="O152"/>
  <c r="W152" s="1"/>
  <c r="V151"/>
  <c r="O151"/>
  <c r="W151" s="1"/>
  <c r="V150"/>
  <c r="O150"/>
  <c r="W150" s="1"/>
  <c r="V149"/>
  <c r="O149"/>
  <c r="V148"/>
  <c r="O148"/>
  <c r="W148" s="1"/>
  <c r="V147"/>
  <c r="O147"/>
  <c r="C146"/>
  <c r="V142"/>
  <c r="O142"/>
  <c r="W142" s="1"/>
  <c r="V138"/>
  <c r="O138"/>
  <c r="W138" s="1"/>
  <c r="V127"/>
  <c r="O127"/>
  <c r="W127" s="1"/>
  <c r="V126"/>
  <c r="O126"/>
  <c r="W126" s="1"/>
  <c r="V114"/>
  <c r="O114"/>
  <c r="W114" s="1"/>
  <c r="V113"/>
  <c r="O113"/>
  <c r="W113" s="1"/>
  <c r="V112"/>
  <c r="O112"/>
  <c r="W112" s="1"/>
  <c r="V111"/>
  <c r="O111"/>
  <c r="V110"/>
  <c r="O110"/>
  <c r="W110" s="1"/>
  <c r="V109"/>
  <c r="O109"/>
  <c r="W109" s="1"/>
  <c r="V62"/>
  <c r="O62"/>
  <c r="W62" s="1"/>
  <c r="V61"/>
  <c r="O61"/>
  <c r="W61" s="1"/>
  <c r="V60"/>
  <c r="O60"/>
  <c r="W60" s="1"/>
  <c r="W231" l="1"/>
  <c r="C231" s="1"/>
  <c r="C248"/>
  <c r="O249"/>
  <c r="W111"/>
  <c r="AB111" s="1"/>
  <c r="W147"/>
  <c r="C147" s="1"/>
  <c r="W149"/>
  <c r="C149" s="1"/>
  <c r="W153"/>
  <c r="C153" s="1"/>
  <c r="W155"/>
  <c r="C155" s="1"/>
  <c r="C109"/>
  <c r="C113"/>
  <c r="W160"/>
  <c r="C160" s="1"/>
  <c r="W162"/>
  <c r="C162" s="1"/>
  <c r="W164"/>
  <c r="C164" s="1"/>
  <c r="W166"/>
  <c r="C166" s="1"/>
  <c r="W173"/>
  <c r="C173" s="1"/>
  <c r="W175"/>
  <c r="C175" s="1"/>
  <c r="W177"/>
  <c r="C177" s="1"/>
  <c r="C61"/>
  <c r="C66"/>
  <c r="AB66"/>
  <c r="AB248"/>
  <c r="AB247"/>
  <c r="C247"/>
  <c r="AB207"/>
  <c r="C246"/>
  <c r="AB232"/>
  <c r="C215"/>
  <c r="AB209"/>
  <c r="AB211"/>
  <c r="AB206"/>
  <c r="AB195"/>
  <c r="AB192"/>
  <c r="AB174"/>
  <c r="AB178"/>
  <c r="AB171"/>
  <c r="C171"/>
  <c r="AB172"/>
  <c r="AB176"/>
  <c r="C172"/>
  <c r="C174"/>
  <c r="C176"/>
  <c r="C178"/>
  <c r="AB161"/>
  <c r="AB165"/>
  <c r="AB159"/>
  <c r="AB163"/>
  <c r="AB167"/>
  <c r="C161"/>
  <c r="C165"/>
  <c r="AB151"/>
  <c r="AB148"/>
  <c r="AB150"/>
  <c r="C151"/>
  <c r="AB152"/>
  <c r="C148"/>
  <c r="C150"/>
  <c r="C154"/>
  <c r="AB154"/>
  <c r="C156"/>
  <c r="AB156"/>
  <c r="AB142"/>
  <c r="AB138"/>
  <c r="AB126"/>
  <c r="C126"/>
  <c r="AB127"/>
  <c r="AB109"/>
  <c r="AB113"/>
  <c r="AB110"/>
  <c r="AB112"/>
  <c r="AB114"/>
  <c r="C110"/>
  <c r="C114"/>
  <c r="AB62"/>
  <c r="AB61"/>
  <c r="AB60"/>
  <c r="C62"/>
  <c r="AB231" l="1"/>
  <c r="AB160"/>
  <c r="AB173"/>
  <c r="AB153"/>
  <c r="AB147"/>
  <c r="AB164"/>
  <c r="AB177"/>
  <c r="AB149"/>
  <c r="AB162"/>
  <c r="AB166"/>
  <c r="AB175"/>
  <c r="AB155"/>
  <c r="W249"/>
  <c r="C111"/>
  <c r="C232"/>
  <c r="C209"/>
  <c r="C206"/>
  <c r="C195"/>
  <c r="C192"/>
  <c r="C167"/>
  <c r="C163"/>
  <c r="C159"/>
  <c r="C152"/>
  <c r="C142"/>
  <c r="C138"/>
  <c r="C127"/>
  <c r="C112"/>
  <c r="C60"/>
  <c r="D409" l="1"/>
  <c r="E409"/>
  <c r="F409"/>
  <c r="C406"/>
  <c r="AB406" s="1"/>
  <c r="C405"/>
  <c r="AB405" s="1"/>
  <c r="C404"/>
  <c r="AB404" s="1"/>
  <c r="C400" l="1"/>
  <c r="AB400" s="1"/>
  <c r="W408"/>
  <c r="W335"/>
  <c r="C335" s="1"/>
  <c r="AB335" s="1"/>
  <c r="W332"/>
  <c r="C332" s="1"/>
  <c r="AB332" s="1"/>
  <c r="C333"/>
  <c r="AB333" s="1"/>
  <c r="W363" l="1"/>
  <c r="C363" s="1"/>
  <c r="AB363" s="1"/>
  <c r="W309" l="1"/>
  <c r="C309" s="1"/>
  <c r="AB309" s="1"/>
  <c r="C300" l="1"/>
  <c r="AB300" s="1"/>
  <c r="C301"/>
  <c r="AB301" s="1"/>
  <c r="W303"/>
  <c r="C303" s="1"/>
  <c r="AB303" s="1"/>
  <c r="W304"/>
  <c r="C304" s="1"/>
  <c r="AB304" s="1"/>
  <c r="C305"/>
  <c r="C306"/>
  <c r="C307"/>
  <c r="C308"/>
  <c r="AB308" s="1"/>
  <c r="C275" l="1"/>
  <c r="Z275" s="1"/>
  <c r="C276"/>
  <c r="Z276" s="1"/>
  <c r="C277"/>
  <c r="Z277" s="1"/>
  <c r="C278"/>
  <c r="Z278" s="1"/>
  <c r="C279"/>
  <c r="Z279" s="1"/>
  <c r="C280"/>
  <c r="Z280" s="1"/>
  <c r="C281"/>
  <c r="Z281" s="1"/>
  <c r="AB281" s="1"/>
  <c r="C282"/>
  <c r="Z282" s="1"/>
  <c r="AB282" s="1"/>
  <c r="C283"/>
  <c r="Z283" s="1"/>
  <c r="AB283" s="1"/>
  <c r="C284"/>
  <c r="Z284" s="1"/>
  <c r="AB284" s="1"/>
  <c r="AB280" l="1"/>
  <c r="AB49"/>
  <c r="V324" l="1"/>
  <c r="Q324"/>
  <c r="R324"/>
  <c r="S324"/>
  <c r="I324"/>
  <c r="J324"/>
  <c r="K324"/>
  <c r="L324"/>
  <c r="M324"/>
  <c r="N324"/>
  <c r="O324"/>
  <c r="H324"/>
  <c r="G324"/>
  <c r="F324"/>
  <c r="W322"/>
  <c r="W323"/>
  <c r="C323" s="1"/>
  <c r="AB323" s="1"/>
  <c r="P324"/>
  <c r="P830" l="1"/>
  <c r="C202" l="1"/>
  <c r="Z202" s="1"/>
  <c r="C208"/>
  <c r="Z208" s="1"/>
  <c r="C179"/>
  <c r="Z179" s="1"/>
  <c r="AB202" l="1"/>
  <c r="AB179"/>
  <c r="AB208"/>
  <c r="C94"/>
  <c r="C140"/>
  <c r="Z140" s="1"/>
  <c r="C139"/>
  <c r="Z139" s="1"/>
  <c r="C351"/>
  <c r="C403"/>
  <c r="G409"/>
  <c r="C402"/>
  <c r="C348" l="1"/>
  <c r="Z351"/>
  <c r="AB351" s="1"/>
  <c r="Z94"/>
  <c r="AB94" s="1"/>
  <c r="Z402"/>
  <c r="AB402" s="1"/>
  <c r="Z403"/>
  <c r="AB403" s="1"/>
  <c r="AC409"/>
  <c r="AA409"/>
  <c r="Y409"/>
  <c r="X409"/>
  <c r="V409"/>
  <c r="S409"/>
  <c r="R409"/>
  <c r="Q409"/>
  <c r="O409"/>
  <c r="N409"/>
  <c r="M409"/>
  <c r="L409"/>
  <c r="K409"/>
  <c r="J409"/>
  <c r="I409"/>
  <c r="H409"/>
  <c r="Z348" l="1"/>
  <c r="AB348" s="1"/>
  <c r="W409"/>
  <c r="P409"/>
  <c r="C399"/>
  <c r="C408" s="1"/>
  <c r="C409" l="1"/>
  <c r="Z399"/>
  <c r="Z408" s="1"/>
  <c r="Z409" l="1"/>
  <c r="AB399"/>
  <c r="AB408" s="1"/>
  <c r="AB409" l="1"/>
  <c r="Z977" l="1"/>
  <c r="C157"/>
  <c r="Z157" s="1"/>
  <c r="C59"/>
  <c r="Z59" s="1"/>
  <c r="K226" l="1"/>
  <c r="K227"/>
  <c r="K224"/>
  <c r="K225"/>
  <c r="Z225" s="1"/>
  <c r="K222"/>
  <c r="K223"/>
  <c r="K220"/>
  <c r="K221"/>
  <c r="K58"/>
  <c r="Z58" s="1"/>
  <c r="K57"/>
  <c r="Z57" s="1"/>
  <c r="K70"/>
  <c r="Z70" s="1"/>
  <c r="C220" l="1"/>
  <c r="Z220"/>
  <c r="C227"/>
  <c r="Z227"/>
  <c r="C221"/>
  <c r="Z221"/>
  <c r="C224"/>
  <c r="Z224"/>
  <c r="C226"/>
  <c r="Z226"/>
  <c r="C222"/>
  <c r="Z222"/>
  <c r="C225"/>
  <c r="O387"/>
  <c r="O1507" l="1"/>
  <c r="O1072"/>
  <c r="W1072" s="1"/>
  <c r="O1071"/>
  <c r="W1507" l="1"/>
  <c r="O1514"/>
  <c r="W1071"/>
  <c r="W1075" s="1"/>
  <c r="O1075"/>
  <c r="K217"/>
  <c r="Z217" s="1"/>
  <c r="K218"/>
  <c r="Z218" s="1"/>
  <c r="K219"/>
  <c r="Z219" s="1"/>
  <c r="K228"/>
  <c r="Z228" s="1"/>
  <c r="K229"/>
  <c r="Z229" s="1"/>
  <c r="K238"/>
  <c r="Z238" s="1"/>
  <c r="K239"/>
  <c r="Z239" s="1"/>
  <c r="K240"/>
  <c r="K241"/>
  <c r="K242"/>
  <c r="K243"/>
  <c r="K244"/>
  <c r="K245"/>
  <c r="K237"/>
  <c r="Z237" s="1"/>
  <c r="K216"/>
  <c r="Z216" s="1"/>
  <c r="K135"/>
  <c r="Z135" s="1"/>
  <c r="K134"/>
  <c r="Z134" s="1"/>
  <c r="K133"/>
  <c r="Z133" s="1"/>
  <c r="K132"/>
  <c r="Z132" s="1"/>
  <c r="K131"/>
  <c r="Z131" s="1"/>
  <c r="K130"/>
  <c r="Z130" s="1"/>
  <c r="K129"/>
  <c r="Z129" s="1"/>
  <c r="K128"/>
  <c r="Z128" s="1"/>
  <c r="K119"/>
  <c r="Z119" s="1"/>
  <c r="K118"/>
  <c r="Z118" s="1"/>
  <c r="K117"/>
  <c r="Z117" s="1"/>
  <c r="K116"/>
  <c r="Z116" s="1"/>
  <c r="K115"/>
  <c r="Z115" s="1"/>
  <c r="K108"/>
  <c r="Z108" s="1"/>
  <c r="K107"/>
  <c r="Z107" s="1"/>
  <c r="K106"/>
  <c r="Z106" s="1"/>
  <c r="K105"/>
  <c r="Z105" s="1"/>
  <c r="K104"/>
  <c r="Z104" s="1"/>
  <c r="K103"/>
  <c r="Z103" s="1"/>
  <c r="K102"/>
  <c r="Z102" s="1"/>
  <c r="K101"/>
  <c r="Z101" s="1"/>
  <c r="K100"/>
  <c r="Z100" s="1"/>
  <c r="K99"/>
  <c r="Z99" s="1"/>
  <c r="K98"/>
  <c r="Z98" s="1"/>
  <c r="K97"/>
  <c r="Z97" s="1"/>
  <c r="K96"/>
  <c r="Z96" s="1"/>
  <c r="K95"/>
  <c r="Z95" s="1"/>
  <c r="K71"/>
  <c r="Z71" s="1"/>
  <c r="K72"/>
  <c r="Z72" s="1"/>
  <c r="K73"/>
  <c r="Z73" s="1"/>
  <c r="K74"/>
  <c r="Z74" s="1"/>
  <c r="K75"/>
  <c r="Z75" s="1"/>
  <c r="K76"/>
  <c r="Z76" s="1"/>
  <c r="K77"/>
  <c r="Z77" s="1"/>
  <c r="K203"/>
  <c r="Z203" s="1"/>
  <c r="K78"/>
  <c r="Z78" s="1"/>
  <c r="K79"/>
  <c r="Z79" s="1"/>
  <c r="K81"/>
  <c r="Z81" s="1"/>
  <c r="K82"/>
  <c r="Z82" s="1"/>
  <c r="K83"/>
  <c r="Z83" s="1"/>
  <c r="K84"/>
  <c r="Z84" s="1"/>
  <c r="K85"/>
  <c r="Z85" s="1"/>
  <c r="K86"/>
  <c r="Z86" s="1"/>
  <c r="K87"/>
  <c r="Z87" s="1"/>
  <c r="K88"/>
  <c r="Z88" s="1"/>
  <c r="K89"/>
  <c r="Z89" s="1"/>
  <c r="K90"/>
  <c r="Z90" s="1"/>
  <c r="K92"/>
  <c r="K91"/>
  <c r="Z91" s="1"/>
  <c r="K249" l="1"/>
  <c r="O389"/>
  <c r="W389" s="1"/>
  <c r="O388"/>
  <c r="W387"/>
  <c r="W388" l="1"/>
  <c r="W391" s="1"/>
  <c r="O391"/>
  <c r="O329"/>
  <c r="W329" s="1"/>
  <c r="O328"/>
  <c r="W328" s="1"/>
  <c r="O330"/>
  <c r="W330" s="1"/>
  <c r="O327"/>
  <c r="W327" s="1"/>
  <c r="O326"/>
  <c r="W326" s="1"/>
  <c r="C27" l="1"/>
  <c r="AB27" l="1"/>
  <c r="I366" l="1"/>
  <c r="J366"/>
  <c r="K366"/>
  <c r="L366"/>
  <c r="M366"/>
  <c r="N366"/>
  <c r="O366"/>
  <c r="P366"/>
  <c r="Q366"/>
  <c r="R366"/>
  <c r="S366"/>
  <c r="V366"/>
  <c r="F366"/>
  <c r="D360"/>
  <c r="E360"/>
  <c r="F360"/>
  <c r="G360"/>
  <c r="H360"/>
  <c r="I360"/>
  <c r="J360"/>
  <c r="K360"/>
  <c r="L360"/>
  <c r="M360"/>
  <c r="N360"/>
  <c r="O360"/>
  <c r="P360"/>
  <c r="Q360"/>
  <c r="D266"/>
  <c r="E266"/>
  <c r="F266"/>
  <c r="G266"/>
  <c r="H266"/>
  <c r="I266"/>
  <c r="J266"/>
  <c r="K266"/>
  <c r="L266"/>
  <c r="M266"/>
  <c r="N266"/>
  <c r="Q266"/>
  <c r="S266"/>
  <c r="V266"/>
  <c r="P265"/>
  <c r="R264"/>
  <c r="R266" s="1"/>
  <c r="P263"/>
  <c r="W263" s="1"/>
  <c r="P262"/>
  <c r="W262" s="1"/>
  <c r="O261"/>
  <c r="O266" s="1"/>
  <c r="W261" l="1"/>
  <c r="P266"/>
  <c r="E292"/>
  <c r="F292"/>
  <c r="J292"/>
  <c r="K292"/>
  <c r="M292"/>
  <c r="N292"/>
  <c r="R292"/>
  <c r="X292"/>
  <c r="Y292"/>
  <c r="C358"/>
  <c r="Z358" s="1"/>
  <c r="Z360" s="1"/>
  <c r="C359"/>
  <c r="AB359" s="1"/>
  <c r="R360" l="1"/>
  <c r="C29" l="1"/>
  <c r="W21"/>
  <c r="C21" s="1"/>
  <c r="W19"/>
  <c r="C19" s="1"/>
  <c r="W18"/>
  <c r="C18" s="1"/>
  <c r="R353"/>
  <c r="R354" s="1"/>
  <c r="P353"/>
  <c r="P354" s="1"/>
  <c r="V144"/>
  <c r="Z29" l="1"/>
  <c r="Z37" s="1"/>
  <c r="X249" l="1"/>
  <c r="L1278" l="1"/>
  <c r="I1278"/>
  <c r="H1278"/>
  <c r="G1278"/>
  <c r="D1278"/>
  <c r="P1269"/>
  <c r="W1269" s="1"/>
  <c r="C1269" s="1"/>
  <c r="AB1269" s="1"/>
  <c r="L1268"/>
  <c r="I1268"/>
  <c r="H1268"/>
  <c r="P1264"/>
  <c r="W1264" s="1"/>
  <c r="S1260"/>
  <c r="R1260"/>
  <c r="Q1260"/>
  <c r="R1254"/>
  <c r="W1254" s="1"/>
  <c r="M1292"/>
  <c r="P1237"/>
  <c r="W1237" s="1"/>
  <c r="P1236"/>
  <c r="W1236" s="1"/>
  <c r="L1235"/>
  <c r="I1235"/>
  <c r="H1235"/>
  <c r="G1235"/>
  <c r="D1235"/>
  <c r="P1234"/>
  <c r="W1234" s="1"/>
  <c r="P1233"/>
  <c r="W1233" s="1"/>
  <c r="P1232"/>
  <c r="W1232" s="1"/>
  <c r="S1219"/>
  <c r="L1215"/>
  <c r="I1215"/>
  <c r="H1215"/>
  <c r="G1215"/>
  <c r="D1215"/>
  <c r="P1182"/>
  <c r="W1182" s="1"/>
  <c r="H1292"/>
  <c r="D1292"/>
  <c r="L1145"/>
  <c r="P1141"/>
  <c r="W1141" s="1"/>
  <c r="P1140"/>
  <c r="S1136"/>
  <c r="S1292" s="1"/>
  <c r="R1136"/>
  <c r="Q1136"/>
  <c r="Q1292" s="1"/>
  <c r="R1135"/>
  <c r="L649"/>
  <c r="H649"/>
  <c r="G649"/>
  <c r="D649"/>
  <c r="L648"/>
  <c r="I648"/>
  <c r="H648"/>
  <c r="G648"/>
  <c r="D648"/>
  <c r="Q656"/>
  <c r="P656"/>
  <c r="W556"/>
  <c r="S544"/>
  <c r="R544"/>
  <c r="L544"/>
  <c r="I544"/>
  <c r="H544"/>
  <c r="G544"/>
  <c r="D544"/>
  <c r="L543"/>
  <c r="S543"/>
  <c r="I543"/>
  <c r="H543"/>
  <c r="G543"/>
  <c r="D543"/>
  <c r="S488"/>
  <c r="L488"/>
  <c r="I488"/>
  <c r="H488"/>
  <c r="G488"/>
  <c r="D488"/>
  <c r="L486"/>
  <c r="I486"/>
  <c r="H486"/>
  <c r="G486"/>
  <c r="V241"/>
  <c r="R241"/>
  <c r="R230"/>
  <c r="P212"/>
  <c r="P205"/>
  <c r="P204"/>
  <c r="P201"/>
  <c r="P200"/>
  <c r="P199"/>
  <c r="R197"/>
  <c r="I197"/>
  <c r="P196"/>
  <c r="P193"/>
  <c r="L170"/>
  <c r="I170"/>
  <c r="H170"/>
  <c r="G170"/>
  <c r="D170"/>
  <c r="P169"/>
  <c r="L168"/>
  <c r="C144"/>
  <c r="Z144" s="1"/>
  <c r="I168"/>
  <c r="H168"/>
  <c r="G168"/>
  <c r="D168"/>
  <c r="S143"/>
  <c r="Q143"/>
  <c r="L143"/>
  <c r="I143"/>
  <c r="H143"/>
  <c r="G143"/>
  <c r="D143"/>
  <c r="P141"/>
  <c r="L122"/>
  <c r="I122"/>
  <c r="H122"/>
  <c r="G122"/>
  <c r="L121"/>
  <c r="I121"/>
  <c r="H121"/>
  <c r="G121"/>
  <c r="D121"/>
  <c r="V92"/>
  <c r="R92"/>
  <c r="L69"/>
  <c r="P69"/>
  <c r="I69"/>
  <c r="H69"/>
  <c r="G69"/>
  <c r="D69"/>
  <c r="V69"/>
  <c r="S68"/>
  <c r="R68"/>
  <c r="Q68"/>
  <c r="L65"/>
  <c r="I65"/>
  <c r="H65"/>
  <c r="G65"/>
  <c r="D65"/>
  <c r="H64"/>
  <c r="L64"/>
  <c r="I64"/>
  <c r="G64"/>
  <c r="D64"/>
  <c r="W1135" l="1"/>
  <c r="R1292"/>
  <c r="W1140"/>
  <c r="P1292"/>
  <c r="W1145"/>
  <c r="L1292"/>
  <c r="G1292"/>
  <c r="I1292"/>
  <c r="S249"/>
  <c r="G656"/>
  <c r="I656"/>
  <c r="D656"/>
  <c r="R656"/>
  <c r="H656"/>
  <c r="L656"/>
  <c r="S656"/>
  <c r="M656"/>
  <c r="D249"/>
  <c r="I249"/>
  <c r="H249"/>
  <c r="Q249"/>
  <c r="L249"/>
  <c r="R249"/>
  <c r="C65"/>
  <c r="P249"/>
  <c r="G249"/>
  <c r="M249"/>
  <c r="W1260"/>
  <c r="C1260" s="1"/>
  <c r="AB1260" s="1"/>
  <c r="C69"/>
  <c r="W1235"/>
  <c r="W1268"/>
  <c r="C1268" s="1"/>
  <c r="AB1268" s="1"/>
  <c r="C1254"/>
  <c r="AB1254" s="1"/>
  <c r="W1136"/>
  <c r="W1278"/>
  <c r="C1278" s="1"/>
  <c r="AB1278" s="1"/>
  <c r="AB144"/>
  <c r="C1264"/>
  <c r="AB1264" s="1"/>
  <c r="W1215"/>
  <c r="W649"/>
  <c r="W648"/>
  <c r="W486"/>
  <c r="W1292" l="1"/>
  <c r="W656"/>
  <c r="P1522"/>
  <c r="P1510" l="1"/>
  <c r="P1514" s="1"/>
  <c r="R1502"/>
  <c r="R1498"/>
  <c r="P1499"/>
  <c r="R1482"/>
  <c r="L1475"/>
  <c r="L1476"/>
  <c r="L1473"/>
  <c r="L1472"/>
  <c r="I1475"/>
  <c r="I1473"/>
  <c r="I1472"/>
  <c r="H1476"/>
  <c r="H1475"/>
  <c r="H1473"/>
  <c r="H1472"/>
  <c r="G1475"/>
  <c r="G1472"/>
  <c r="D1477"/>
  <c r="W1477" s="1"/>
  <c r="D1476"/>
  <c r="D1475"/>
  <c r="D1473"/>
  <c r="D1472"/>
  <c r="G1478" l="1"/>
  <c r="H1478"/>
  <c r="I1478"/>
  <c r="D1478"/>
  <c r="D1479" s="1"/>
  <c r="L1478"/>
  <c r="L1479" s="1"/>
  <c r="W1510"/>
  <c r="W1514" s="1"/>
  <c r="E1479"/>
  <c r="F1479"/>
  <c r="G1479"/>
  <c r="H1479"/>
  <c r="I1479"/>
  <c r="J1479"/>
  <c r="K1479"/>
  <c r="M1479"/>
  <c r="N1479"/>
  <c r="O1479"/>
  <c r="P1479"/>
  <c r="Q1479"/>
  <c r="R1479"/>
  <c r="S1479"/>
  <c r="V1479"/>
  <c r="X1479"/>
  <c r="Y1479"/>
  <c r="Z1479"/>
  <c r="AA1479"/>
  <c r="C1477"/>
  <c r="AB1477" s="1"/>
  <c r="G1459"/>
  <c r="D1459"/>
  <c r="C1510" l="1"/>
  <c r="AB1510" s="1"/>
  <c r="R1456"/>
  <c r="R1459" s="1"/>
  <c r="P1406"/>
  <c r="W1406" s="1"/>
  <c r="C1406" s="1"/>
  <c r="AB1406" s="1"/>
  <c r="E1407"/>
  <c r="F1407"/>
  <c r="G1407"/>
  <c r="H1407"/>
  <c r="I1407"/>
  <c r="J1407"/>
  <c r="K1407"/>
  <c r="L1407"/>
  <c r="M1407"/>
  <c r="N1407"/>
  <c r="O1407"/>
  <c r="Q1407"/>
  <c r="R1407"/>
  <c r="S1407"/>
  <c r="V1407"/>
  <c r="X1407"/>
  <c r="Y1407"/>
  <c r="Z1407"/>
  <c r="AA1407"/>
  <c r="D1405"/>
  <c r="D1407" s="1"/>
  <c r="P1407" l="1"/>
  <c r="W1456"/>
  <c r="W1459" s="1"/>
  <c r="R1301" l="1"/>
  <c r="S1297"/>
  <c r="S1315" s="1"/>
  <c r="R1297"/>
  <c r="R1315" s="1"/>
  <c r="Q1297"/>
  <c r="Q1315" s="1"/>
  <c r="I1115" l="1"/>
  <c r="I1117" s="1"/>
  <c r="H1115"/>
  <c r="H1117" s="1"/>
  <c r="S1116"/>
  <c r="S1117" s="1"/>
  <c r="R1116"/>
  <c r="R1117" s="1"/>
  <c r="W1116" l="1"/>
  <c r="Q1115" l="1"/>
  <c r="P1114"/>
  <c r="P1117" s="1"/>
  <c r="W1115" l="1"/>
  <c r="W1117" s="1"/>
  <c r="Q1117"/>
  <c r="L1105"/>
  <c r="W1105" l="1"/>
  <c r="L1110"/>
  <c r="I1110"/>
  <c r="L1096"/>
  <c r="L1091"/>
  <c r="R1096"/>
  <c r="R1097" s="1"/>
  <c r="I1096"/>
  <c r="I1092"/>
  <c r="W1092" s="1"/>
  <c r="I1091"/>
  <c r="I1089"/>
  <c r="W1089" l="1"/>
  <c r="I1097"/>
  <c r="L1097"/>
  <c r="W1110"/>
  <c r="Q1110"/>
  <c r="W1091"/>
  <c r="C1091" s="1"/>
  <c r="AB1091" s="1"/>
  <c r="W1096"/>
  <c r="AC1525"/>
  <c r="AA1525"/>
  <c r="Z1525"/>
  <c r="Y1525"/>
  <c r="X1525"/>
  <c r="V1525"/>
  <c r="S1525"/>
  <c r="R1525"/>
  <c r="Q1525"/>
  <c r="P1525"/>
  <c r="O1525"/>
  <c r="N1525"/>
  <c r="M1525"/>
  <c r="K1525"/>
  <c r="J1525"/>
  <c r="I1525"/>
  <c r="H1525"/>
  <c r="G1525"/>
  <c r="F1525"/>
  <c r="E1525"/>
  <c r="D1525"/>
  <c r="L1525"/>
  <c r="AC1518"/>
  <c r="AC1086" s="1"/>
  <c r="AA1517"/>
  <c r="Z1517"/>
  <c r="Y1517"/>
  <c r="X1517"/>
  <c r="V1517"/>
  <c r="S1517"/>
  <c r="Q1517"/>
  <c r="P1517"/>
  <c r="O1517"/>
  <c r="M1517"/>
  <c r="L1517"/>
  <c r="K1517"/>
  <c r="J1517"/>
  <c r="I1517"/>
  <c r="H1517"/>
  <c r="G1517"/>
  <c r="F1517"/>
  <c r="E1517"/>
  <c r="D1517"/>
  <c r="R1517"/>
  <c r="AA1503"/>
  <c r="Z1503"/>
  <c r="Y1503"/>
  <c r="X1503"/>
  <c r="V1503"/>
  <c r="R1503"/>
  <c r="O1503"/>
  <c r="N1503"/>
  <c r="M1503"/>
  <c r="L1503"/>
  <c r="K1503"/>
  <c r="J1503"/>
  <c r="I1503"/>
  <c r="H1503"/>
  <c r="G1503"/>
  <c r="F1503"/>
  <c r="E1503"/>
  <c r="D1503"/>
  <c r="S1503"/>
  <c r="Q1503"/>
  <c r="W1499"/>
  <c r="W1498"/>
  <c r="C1498" s="1"/>
  <c r="P1503"/>
  <c r="W1489"/>
  <c r="AA1483"/>
  <c r="Z1483"/>
  <c r="Y1483"/>
  <c r="X1483"/>
  <c r="V1483"/>
  <c r="R1483"/>
  <c r="Q1483"/>
  <c r="P1483"/>
  <c r="O1483"/>
  <c r="N1483"/>
  <c r="M1483"/>
  <c r="L1483"/>
  <c r="K1483"/>
  <c r="J1483"/>
  <c r="I1483"/>
  <c r="H1483"/>
  <c r="G1483"/>
  <c r="F1483"/>
  <c r="E1483"/>
  <c r="D1483"/>
  <c r="S1483"/>
  <c r="W1476"/>
  <c r="W1475"/>
  <c r="C1475" s="1"/>
  <c r="AB1475" s="1"/>
  <c r="W1473"/>
  <c r="C1237"/>
  <c r="AB1237" s="1"/>
  <c r="C1236"/>
  <c r="AB1236" s="1"/>
  <c r="C1235"/>
  <c r="AB1235" s="1"/>
  <c r="C1234"/>
  <c r="AB1234" s="1"/>
  <c r="C1233"/>
  <c r="AB1233" s="1"/>
  <c r="C1232"/>
  <c r="AB1232" s="1"/>
  <c r="C1219"/>
  <c r="AB1219" s="1"/>
  <c r="C1215"/>
  <c r="AB1215" s="1"/>
  <c r="C1182"/>
  <c r="AB1182" s="1"/>
  <c r="C1145"/>
  <c r="AB1145" s="1"/>
  <c r="C1141"/>
  <c r="AB1141" s="1"/>
  <c r="C1140"/>
  <c r="AB1140" s="1"/>
  <c r="C1136"/>
  <c r="AB1136" s="1"/>
  <c r="C1135"/>
  <c r="C1125"/>
  <c r="C1122"/>
  <c r="C1115"/>
  <c r="AB1115" s="1"/>
  <c r="C1114"/>
  <c r="C1092"/>
  <c r="AB1092" s="1"/>
  <c r="C1089"/>
  <c r="AC1085"/>
  <c r="L1083"/>
  <c r="W1083" s="1"/>
  <c r="AB1135" l="1"/>
  <c r="AB1292" s="1"/>
  <c r="C1292"/>
  <c r="C1473"/>
  <c r="Q1504"/>
  <c r="D1504"/>
  <c r="F1504"/>
  <c r="H1504"/>
  <c r="J1504"/>
  <c r="L1504"/>
  <c r="N1504"/>
  <c r="R1504"/>
  <c r="X1504"/>
  <c r="Z1504"/>
  <c r="W1097"/>
  <c r="AB1089"/>
  <c r="AB1114"/>
  <c r="S1504"/>
  <c r="E1504"/>
  <c r="G1504"/>
  <c r="I1504"/>
  <c r="K1504"/>
  <c r="M1504"/>
  <c r="O1504"/>
  <c r="V1504"/>
  <c r="Y1504"/>
  <c r="AA1504"/>
  <c r="AB1125"/>
  <c r="C1129"/>
  <c r="A1100"/>
  <c r="A1101" s="1"/>
  <c r="A1102" s="1"/>
  <c r="A1103" s="1"/>
  <c r="A1104" s="1"/>
  <c r="A1105" s="1"/>
  <c r="A1106" s="1"/>
  <c r="A1107" s="1"/>
  <c r="C1105"/>
  <c r="AB1105" s="1"/>
  <c r="W1405"/>
  <c r="W1407" s="1"/>
  <c r="C1489"/>
  <c r="O1518"/>
  <c r="D1518"/>
  <c r="F1518"/>
  <c r="H1518"/>
  <c r="J1518"/>
  <c r="L1518"/>
  <c r="L1086" s="1"/>
  <c r="N1518"/>
  <c r="P1518"/>
  <c r="S1518"/>
  <c r="X1518"/>
  <c r="Z1518"/>
  <c r="C1116"/>
  <c r="AB1116" s="1"/>
  <c r="AB1122"/>
  <c r="C1301"/>
  <c r="AB1301" s="1"/>
  <c r="P1504"/>
  <c r="R1518"/>
  <c r="E1518"/>
  <c r="G1518"/>
  <c r="I1518"/>
  <c r="I1086" s="1"/>
  <c r="K1518"/>
  <c r="M1518"/>
  <c r="Q1518"/>
  <c r="V1518"/>
  <c r="Y1518"/>
  <c r="AA1518"/>
  <c r="C1297"/>
  <c r="C1456"/>
  <c r="C1459" s="1"/>
  <c r="W1472"/>
  <c r="W1478" s="1"/>
  <c r="C1476"/>
  <c r="AB1476" s="1"/>
  <c r="W1482"/>
  <c r="W1483" s="1"/>
  <c r="W1490"/>
  <c r="C1490" s="1"/>
  <c r="AB1490" s="1"/>
  <c r="AB1498"/>
  <c r="C1499"/>
  <c r="AB1499" s="1"/>
  <c r="W1502"/>
  <c r="C1502" s="1"/>
  <c r="AB1502" s="1"/>
  <c r="C1507"/>
  <c r="C1514" s="1"/>
  <c r="W1516"/>
  <c r="W1517" s="1"/>
  <c r="W1518" s="1"/>
  <c r="W1522"/>
  <c r="C1096"/>
  <c r="AB1096" s="1"/>
  <c r="A1108" l="1"/>
  <c r="A1109" s="1"/>
  <c r="A1112" s="1"/>
  <c r="A1113" s="1"/>
  <c r="A1114" s="1"/>
  <c r="C1315"/>
  <c r="AB1489"/>
  <c r="AB1492" s="1"/>
  <c r="C1492"/>
  <c r="W1492"/>
  <c r="W1525"/>
  <c r="P1086"/>
  <c r="Q1086"/>
  <c r="AB1473"/>
  <c r="Y1086"/>
  <c r="O1086"/>
  <c r="K1086"/>
  <c r="G1086"/>
  <c r="S1086"/>
  <c r="C1117"/>
  <c r="C1097"/>
  <c r="X1086"/>
  <c r="N1086"/>
  <c r="J1086"/>
  <c r="F1086"/>
  <c r="AB1129"/>
  <c r="AA1086"/>
  <c r="V1086"/>
  <c r="M1086"/>
  <c r="E1086"/>
  <c r="AB1117"/>
  <c r="AB1097"/>
  <c r="Z1086"/>
  <c r="R1086"/>
  <c r="H1086"/>
  <c r="D1086"/>
  <c r="AB1297"/>
  <c r="AB1315" s="1"/>
  <c r="W1479"/>
  <c r="C1522"/>
  <c r="C1516"/>
  <c r="C1517" s="1"/>
  <c r="C1405"/>
  <c r="C1407" s="1"/>
  <c r="AB1456"/>
  <c r="AB1459" s="1"/>
  <c r="AB1503"/>
  <c r="C1503"/>
  <c r="AB1507"/>
  <c r="AB1514" s="1"/>
  <c r="C1482"/>
  <c r="C1472"/>
  <c r="C1110"/>
  <c r="W1503"/>
  <c r="W1504" s="1"/>
  <c r="C1525" l="1"/>
  <c r="C1478"/>
  <c r="C1479" s="1"/>
  <c r="W1086"/>
  <c r="A1115"/>
  <c r="A1116" s="1"/>
  <c r="A1119" s="1"/>
  <c r="A1120" s="1"/>
  <c r="A1121" s="1"/>
  <c r="A1122" s="1"/>
  <c r="A1123" s="1"/>
  <c r="A1124" s="1"/>
  <c r="A1125" s="1"/>
  <c r="A1126" s="1"/>
  <c r="A1127" s="1"/>
  <c r="A1128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B1516"/>
  <c r="AB1517" s="1"/>
  <c r="AB1518" s="1"/>
  <c r="AB1522"/>
  <c r="AB1405"/>
  <c r="AB1407" s="1"/>
  <c r="AB1110"/>
  <c r="AB1472"/>
  <c r="AB1478" s="1"/>
  <c r="AB1482"/>
  <c r="AB1483" s="1"/>
  <c r="AB1504" s="1"/>
  <c r="C1483"/>
  <c r="C1504" s="1"/>
  <c r="C1518"/>
  <c r="AA1084"/>
  <c r="AA1085" s="1"/>
  <c r="Z1084"/>
  <c r="Z1085" s="1"/>
  <c r="Y1084"/>
  <c r="Y1085" s="1"/>
  <c r="X1084"/>
  <c r="X1085" s="1"/>
  <c r="W1084"/>
  <c r="W1085" s="1"/>
  <c r="V1084"/>
  <c r="V1085" s="1"/>
  <c r="S1084"/>
  <c r="S1085" s="1"/>
  <c r="R1084"/>
  <c r="R1085" s="1"/>
  <c r="Q1084"/>
  <c r="Q1085" s="1"/>
  <c r="P1084"/>
  <c r="P1085" s="1"/>
  <c r="N1084"/>
  <c r="N1085" s="1"/>
  <c r="M1084"/>
  <c r="M1085" s="1"/>
  <c r="L1084"/>
  <c r="L1085" s="1"/>
  <c r="K1084"/>
  <c r="K1085" s="1"/>
  <c r="J1084"/>
  <c r="J1085" s="1"/>
  <c r="I1084"/>
  <c r="I1085" s="1"/>
  <c r="H1084"/>
  <c r="H1085" s="1"/>
  <c r="G1084"/>
  <c r="G1085" s="1"/>
  <c r="F1084"/>
  <c r="F1085" s="1"/>
  <c r="E1084"/>
  <c r="E1085" s="1"/>
  <c r="D1084"/>
  <c r="D1085" s="1"/>
  <c r="O1084"/>
  <c r="O1085" s="1"/>
  <c r="R1077"/>
  <c r="A1145" l="1"/>
  <c r="AB1525"/>
  <c r="C1086"/>
  <c r="W1077"/>
  <c r="W1079" s="1"/>
  <c r="R1079"/>
  <c r="AB1479"/>
  <c r="C1083"/>
  <c r="C1084" s="1"/>
  <c r="C1085" s="1"/>
  <c r="AC1080"/>
  <c r="C1072"/>
  <c r="AB1072" s="1"/>
  <c r="A1146" l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B1086"/>
  <c r="AB1083"/>
  <c r="AB1084" s="1"/>
  <c r="AB1085" s="1"/>
  <c r="S1080"/>
  <c r="Q1080"/>
  <c r="Y1080"/>
  <c r="AA1080"/>
  <c r="I1080"/>
  <c r="D1080"/>
  <c r="F1080"/>
  <c r="H1080"/>
  <c r="J1080"/>
  <c r="L1080"/>
  <c r="N1080"/>
  <c r="P1080"/>
  <c r="R1080"/>
  <c r="X1080"/>
  <c r="Z1080"/>
  <c r="E1080"/>
  <c r="G1080"/>
  <c r="K1080"/>
  <c r="M1080"/>
  <c r="V1080"/>
  <c r="O1080"/>
  <c r="C1071"/>
  <c r="C1075" s="1"/>
  <c r="W1080"/>
  <c r="AB1071" l="1"/>
  <c r="AB1075" s="1"/>
  <c r="C1077"/>
  <c r="C1079" s="1"/>
  <c r="C1080" s="1"/>
  <c r="AB1077" l="1"/>
  <c r="A1185" l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B1079"/>
  <c r="AB1080" s="1"/>
  <c r="AC396"/>
  <c r="AB18"/>
  <c r="AB19"/>
  <c r="AB21"/>
  <c r="S1062"/>
  <c r="W1062" s="1"/>
  <c r="S1060"/>
  <c r="D1063"/>
  <c r="E1063"/>
  <c r="F1063"/>
  <c r="G1063"/>
  <c r="H1063"/>
  <c r="I1063"/>
  <c r="J1063"/>
  <c r="K1063"/>
  <c r="L1063"/>
  <c r="M1063"/>
  <c r="N1063"/>
  <c r="O1063"/>
  <c r="R1063"/>
  <c r="V1063"/>
  <c r="X1063"/>
  <c r="Y1063"/>
  <c r="Z1063"/>
  <c r="AA1063"/>
  <c r="P1059"/>
  <c r="W1059" s="1"/>
  <c r="C1059" s="1"/>
  <c r="AB1059" s="1"/>
  <c r="P1058"/>
  <c r="W1056"/>
  <c r="AA1056"/>
  <c r="Z1056"/>
  <c r="Y1056"/>
  <c r="X1056"/>
  <c r="V1056"/>
  <c r="S1056"/>
  <c r="R1056"/>
  <c r="Q1056"/>
  <c r="P1056"/>
  <c r="N1056"/>
  <c r="M1056"/>
  <c r="L1056"/>
  <c r="K1056"/>
  <c r="J1056"/>
  <c r="I1056"/>
  <c r="H1056"/>
  <c r="G1056"/>
  <c r="F1056"/>
  <c r="E1056"/>
  <c r="D1056"/>
  <c r="H1045"/>
  <c r="H1046" s="1"/>
  <c r="G1045"/>
  <c r="G1046" s="1"/>
  <c r="D1045"/>
  <c r="D1046" s="1"/>
  <c r="P1044"/>
  <c r="W1044" s="1"/>
  <c r="C1044" s="1"/>
  <c r="AB1044" s="1"/>
  <c r="P1040"/>
  <c r="S1029"/>
  <c r="P1020"/>
  <c r="P1021" s="1"/>
  <c r="L1020"/>
  <c r="L1021" s="1"/>
  <c r="I1020"/>
  <c r="I1021" s="1"/>
  <c r="H1020"/>
  <c r="H1021" s="1"/>
  <c r="G1020"/>
  <c r="G1021" s="1"/>
  <c r="D1020"/>
  <c r="D1021" s="1"/>
  <c r="S1020"/>
  <c r="S1021" s="1"/>
  <c r="R1020"/>
  <c r="R1021" s="1"/>
  <c r="Q1020"/>
  <c r="Q1021" s="1"/>
  <c r="P1046" l="1"/>
  <c r="W1029"/>
  <c r="W1030" s="1"/>
  <c r="S1030"/>
  <c r="AA1068"/>
  <c r="Y1068"/>
  <c r="V1068"/>
  <c r="M1068"/>
  <c r="K1068"/>
  <c r="I1068"/>
  <c r="E1068"/>
  <c r="Z1068"/>
  <c r="X1068"/>
  <c r="R1068"/>
  <c r="N1068"/>
  <c r="L1068"/>
  <c r="J1068"/>
  <c r="H1068"/>
  <c r="F1068"/>
  <c r="D1068"/>
  <c r="Q1063"/>
  <c r="Q1068" s="1"/>
  <c r="S1063"/>
  <c r="P1063"/>
  <c r="W1060"/>
  <c r="C1060" s="1"/>
  <c r="W1045"/>
  <c r="C1045" s="1"/>
  <c r="AB1045" s="1"/>
  <c r="C1062"/>
  <c r="AB1062" s="1"/>
  <c r="G1068"/>
  <c r="W1058"/>
  <c r="O1056"/>
  <c r="O1068" s="1"/>
  <c r="C1056"/>
  <c r="W1040"/>
  <c r="S1068" l="1"/>
  <c r="W1020"/>
  <c r="W1021" s="1"/>
  <c r="C1029"/>
  <c r="C1030" s="1"/>
  <c r="W1046"/>
  <c r="P1068"/>
  <c r="AB1056"/>
  <c r="W1063"/>
  <c r="AB1060"/>
  <c r="C1058"/>
  <c r="C1040"/>
  <c r="C1046" s="1"/>
  <c r="AC1021"/>
  <c r="R999"/>
  <c r="G999"/>
  <c r="D999"/>
  <c r="A1209" l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B1029"/>
  <c r="AB1030" s="1"/>
  <c r="AB1058"/>
  <c r="AB1063" s="1"/>
  <c r="C1063"/>
  <c r="W1068"/>
  <c r="AB1040"/>
  <c r="AB1046" s="1"/>
  <c r="A1225" l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C1020"/>
  <c r="C1021" s="1"/>
  <c r="AB1068"/>
  <c r="C1068"/>
  <c r="AB1020"/>
  <c r="AB1021" s="1"/>
  <c r="A1238" l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I832"/>
  <c r="A1253" l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R977"/>
  <c r="D977"/>
  <c r="L977"/>
  <c r="I977"/>
  <c r="H977"/>
  <c r="G977"/>
  <c r="C999"/>
  <c r="A1270" l="1"/>
  <c r="A1271" s="1"/>
  <c r="W977"/>
  <c r="AB999"/>
  <c r="A1272" l="1"/>
  <c r="A1273" s="1"/>
  <c r="A1274" s="1"/>
  <c r="A1275" s="1"/>
  <c r="A1276" s="1"/>
  <c r="A1277" s="1"/>
  <c r="A1278" s="1"/>
  <c r="A1279" s="1"/>
  <c r="C977"/>
  <c r="AB977"/>
  <c r="AA833"/>
  <c r="Z833"/>
  <c r="Y833"/>
  <c r="X833"/>
  <c r="S833"/>
  <c r="R833"/>
  <c r="Q833"/>
  <c r="N833"/>
  <c r="M833"/>
  <c r="L833"/>
  <c r="K833"/>
  <c r="J833"/>
  <c r="I833"/>
  <c r="H833"/>
  <c r="G833"/>
  <c r="F833"/>
  <c r="E833"/>
  <c r="D833"/>
  <c r="V833"/>
  <c r="O833"/>
  <c r="A1280" l="1"/>
  <c r="A1281" s="1"/>
  <c r="A1282" s="1"/>
  <c r="A1283" s="1"/>
  <c r="A1284" s="1"/>
  <c r="W833"/>
  <c r="P833"/>
  <c r="W830"/>
  <c r="A1285" l="1"/>
  <c r="A1286" s="1"/>
  <c r="C830"/>
  <c r="C832"/>
  <c r="C833" s="1"/>
  <c r="A1287" l="1"/>
  <c r="A1288" s="1"/>
  <c r="A1289" s="1"/>
  <c r="A1290" s="1"/>
  <c r="A1291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7" s="1"/>
  <c r="AB830"/>
  <c r="AB832"/>
  <c r="AB833" s="1"/>
  <c r="A1318" l="1"/>
  <c r="A1319" s="1"/>
  <c r="A1320" s="1"/>
  <c r="R773"/>
  <c r="A1323" l="1"/>
  <c r="A1324" s="1"/>
  <c r="A1325" s="1"/>
  <c r="A1326" s="1"/>
  <c r="D773"/>
  <c r="C804"/>
  <c r="H773"/>
  <c r="I773"/>
  <c r="G773"/>
  <c r="L773"/>
  <c r="P708"/>
  <c r="P715" s="1"/>
  <c r="A1327" l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B804"/>
  <c r="W773"/>
  <c r="W708"/>
  <c r="W715" s="1"/>
  <c r="C649"/>
  <c r="C648"/>
  <c r="AB648" s="1"/>
  <c r="C556"/>
  <c r="AB556" s="1"/>
  <c r="C544"/>
  <c r="AB544" s="1"/>
  <c r="C543"/>
  <c r="AB543" s="1"/>
  <c r="C488"/>
  <c r="AB488" s="1"/>
  <c r="C486"/>
  <c r="P463"/>
  <c r="W463" s="1"/>
  <c r="W465" s="1"/>
  <c r="Q462"/>
  <c r="Q465" s="1"/>
  <c r="P458"/>
  <c r="P457"/>
  <c r="P444"/>
  <c r="W444" s="1"/>
  <c r="C444" s="1"/>
  <c r="AB444" s="1"/>
  <c r="P442"/>
  <c r="R441"/>
  <c r="A1344" l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71" s="1"/>
  <c r="C773"/>
  <c r="C708"/>
  <c r="C715" s="1"/>
  <c r="AB773"/>
  <c r="R455"/>
  <c r="P455"/>
  <c r="P465"/>
  <c r="AB649"/>
  <c r="W441"/>
  <c r="C462"/>
  <c r="AB462" s="1"/>
  <c r="C458"/>
  <c r="AB458" s="1"/>
  <c r="AB486"/>
  <c r="W442"/>
  <c r="C442" s="1"/>
  <c r="AB442" s="1"/>
  <c r="C463"/>
  <c r="AB463" s="1"/>
  <c r="A1372" l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B708"/>
  <c r="AB715" s="1"/>
  <c r="AB484"/>
  <c r="W455"/>
  <c r="C441"/>
  <c r="C455" s="1"/>
  <c r="C457"/>
  <c r="C465" s="1"/>
  <c r="AB457" l="1"/>
  <c r="AB465" s="1"/>
  <c r="AB441"/>
  <c r="AB455" s="1"/>
  <c r="A1399" l="1"/>
  <c r="L438"/>
  <c r="I438"/>
  <c r="H438"/>
  <c r="G438"/>
  <c r="D438"/>
  <c r="A1400" l="1"/>
  <c r="A1401" s="1"/>
  <c r="A1402" s="1"/>
  <c r="A1405" s="1"/>
  <c r="A1406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R438"/>
  <c r="A1429" l="1"/>
  <c r="A1430" s="1"/>
  <c r="A1431" s="1"/>
  <c r="P438"/>
  <c r="A1432" l="1"/>
  <c r="A1433" s="1"/>
  <c r="AC410"/>
  <c r="AA410"/>
  <c r="Y410"/>
  <c r="X410"/>
  <c r="O410"/>
  <c r="N410"/>
  <c r="M410"/>
  <c r="L410"/>
  <c r="K410"/>
  <c r="J410"/>
  <c r="I410"/>
  <c r="H410"/>
  <c r="G410"/>
  <c r="F410"/>
  <c r="E410"/>
  <c r="D410"/>
  <c r="P410"/>
  <c r="R410"/>
  <c r="A1434" l="1"/>
  <c r="A1435" s="1"/>
  <c r="A1436" s="1"/>
  <c r="A1437" s="1"/>
  <c r="A1438" s="1"/>
  <c r="A1439" s="1"/>
  <c r="A1440" s="1"/>
  <c r="A1441" s="1"/>
  <c r="A1442" s="1"/>
  <c r="A1443" s="1"/>
  <c r="A1444" s="1"/>
  <c r="A1445" s="1"/>
  <c r="C93"/>
  <c r="AB93" s="1"/>
  <c r="V137"/>
  <c r="Z137" s="1"/>
  <c r="V136"/>
  <c r="Z136" s="1"/>
  <c r="V249" l="1"/>
  <c r="S393"/>
  <c r="AA396"/>
  <c r="Z396"/>
  <c r="Y396"/>
  <c r="X396"/>
  <c r="V396"/>
  <c r="R396"/>
  <c r="Q396"/>
  <c r="P396"/>
  <c r="N396"/>
  <c r="M396"/>
  <c r="L396"/>
  <c r="K396"/>
  <c r="J396"/>
  <c r="I396"/>
  <c r="H396"/>
  <c r="G396"/>
  <c r="F396"/>
  <c r="E396"/>
  <c r="D396"/>
  <c r="C389"/>
  <c r="AB389" s="1"/>
  <c r="C388"/>
  <c r="AB388" s="1"/>
  <c r="V379"/>
  <c r="P378"/>
  <c r="W378" s="1"/>
  <c r="P377"/>
  <c r="W377" s="1"/>
  <c r="P376"/>
  <c r="P374"/>
  <c r="AA379"/>
  <c r="Z379"/>
  <c r="Y379"/>
  <c r="X379"/>
  <c r="S379"/>
  <c r="R379"/>
  <c r="Q379"/>
  <c r="O379"/>
  <c r="N379"/>
  <c r="M379"/>
  <c r="L379"/>
  <c r="K379"/>
  <c r="J379"/>
  <c r="I379"/>
  <c r="F379"/>
  <c r="E379"/>
  <c r="D379"/>
  <c r="H379"/>
  <c r="G379"/>
  <c r="O371"/>
  <c r="O372" s="1"/>
  <c r="O384" s="1"/>
  <c r="AA372"/>
  <c r="Z372"/>
  <c r="Y372"/>
  <c r="X372"/>
  <c r="V372"/>
  <c r="S372"/>
  <c r="R372"/>
  <c r="Q372"/>
  <c r="P372"/>
  <c r="N372"/>
  <c r="M372"/>
  <c r="L372"/>
  <c r="K372"/>
  <c r="J372"/>
  <c r="I372"/>
  <c r="G372"/>
  <c r="F372"/>
  <c r="E372"/>
  <c r="D372"/>
  <c r="H372"/>
  <c r="H365"/>
  <c r="H364"/>
  <c r="H362"/>
  <c r="G365"/>
  <c r="G364"/>
  <c r="G362"/>
  <c r="D365"/>
  <c r="D364"/>
  <c r="AA366"/>
  <c r="Z366"/>
  <c r="Z384" s="1"/>
  <c r="Y366"/>
  <c r="X366"/>
  <c r="X384" s="1"/>
  <c r="C357"/>
  <c r="L352"/>
  <c r="L353" s="1"/>
  <c r="H352"/>
  <c r="H353" s="1"/>
  <c r="D352"/>
  <c r="D353" s="1"/>
  <c r="A1446" l="1"/>
  <c r="A1447" s="1"/>
  <c r="A1448" s="1"/>
  <c r="A1449" s="1"/>
  <c r="A1450" s="1"/>
  <c r="A1451" s="1"/>
  <c r="A1452" s="1"/>
  <c r="A1455" s="1"/>
  <c r="A1456" s="1"/>
  <c r="A1457" s="1"/>
  <c r="A1458" s="1"/>
  <c r="P379"/>
  <c r="Y384"/>
  <c r="F384"/>
  <c r="AA384"/>
  <c r="AB357"/>
  <c r="AB360" s="1"/>
  <c r="C360"/>
  <c r="W393"/>
  <c r="W395" s="1"/>
  <c r="W396" s="1"/>
  <c r="S395"/>
  <c r="S396" s="1"/>
  <c r="J384"/>
  <c r="L384"/>
  <c r="N384"/>
  <c r="Q384"/>
  <c r="S384"/>
  <c r="C378"/>
  <c r="AB378" s="1"/>
  <c r="E384"/>
  <c r="I384"/>
  <c r="K384"/>
  <c r="M384"/>
  <c r="R384"/>
  <c r="V384"/>
  <c r="W352"/>
  <c r="W353" s="1"/>
  <c r="W354" s="1"/>
  <c r="D366"/>
  <c r="D384" s="1"/>
  <c r="G366"/>
  <c r="G384" s="1"/>
  <c r="H366"/>
  <c r="H384" s="1"/>
  <c r="O396"/>
  <c r="W376"/>
  <c r="C376" s="1"/>
  <c r="AB376" s="1"/>
  <c r="P384"/>
  <c r="W364"/>
  <c r="C364" s="1"/>
  <c r="AB364" s="1"/>
  <c r="W362"/>
  <c r="C377"/>
  <c r="AB377" s="1"/>
  <c r="W374"/>
  <c r="C375"/>
  <c r="AB375" s="1"/>
  <c r="W365"/>
  <c r="C365" s="1"/>
  <c r="AB365" s="1"/>
  <c r="W371"/>
  <c r="W372" s="1"/>
  <c r="A1462" l="1"/>
  <c r="A1463" s="1"/>
  <c r="A1464" s="1"/>
  <c r="A1465" s="1"/>
  <c r="A1466" s="1"/>
  <c r="A1469" s="1"/>
  <c r="A1470" s="1"/>
  <c r="A1471" s="1"/>
  <c r="A1472" s="1"/>
  <c r="A1473" s="1"/>
  <c r="A1474" s="1"/>
  <c r="A1475" s="1"/>
  <c r="A1476" s="1"/>
  <c r="A1477" s="1"/>
  <c r="A1482" s="1"/>
  <c r="A1485" s="1"/>
  <c r="A1486" s="1"/>
  <c r="A1487" s="1"/>
  <c r="A1488" s="1"/>
  <c r="A1489" s="1"/>
  <c r="A1490" s="1"/>
  <c r="A1491" s="1"/>
  <c r="A1494" s="1"/>
  <c r="A1495" s="1"/>
  <c r="A1498" s="1"/>
  <c r="A1499" s="1"/>
  <c r="A1500" s="1"/>
  <c r="A1501" s="1"/>
  <c r="A1502" s="1"/>
  <c r="A1507" s="1"/>
  <c r="A1508" s="1"/>
  <c r="A1509" s="1"/>
  <c r="A1510" s="1"/>
  <c r="A1511" s="1"/>
  <c r="A1512" s="1"/>
  <c r="A1513" s="1"/>
  <c r="A1516" s="1"/>
  <c r="C393"/>
  <c r="C395" s="1"/>
  <c r="W366"/>
  <c r="Z353"/>
  <c r="Z354" s="1"/>
  <c r="W379"/>
  <c r="C374"/>
  <c r="C371"/>
  <c r="A1521" l="1"/>
  <c r="A1522" s="1"/>
  <c r="W384"/>
  <c r="AB393"/>
  <c r="AB395" s="1"/>
  <c r="C372"/>
  <c r="AB371"/>
  <c r="AB372" s="1"/>
  <c r="C379"/>
  <c r="AB374"/>
  <c r="AB379" s="1"/>
  <c r="AA342"/>
  <c r="Z342"/>
  <c r="Y342"/>
  <c r="X342"/>
  <c r="V342"/>
  <c r="O342"/>
  <c r="O346" s="1"/>
  <c r="O354" s="1"/>
  <c r="N342"/>
  <c r="N346" s="1"/>
  <c r="N354" s="1"/>
  <c r="M342"/>
  <c r="M346" s="1"/>
  <c r="M354" s="1"/>
  <c r="L342"/>
  <c r="L346" s="1"/>
  <c r="L354" s="1"/>
  <c r="K342"/>
  <c r="K346" s="1"/>
  <c r="K354" s="1"/>
  <c r="J342"/>
  <c r="J346" s="1"/>
  <c r="J354" s="1"/>
  <c r="I342"/>
  <c r="I346" s="1"/>
  <c r="I354" s="1"/>
  <c r="H342"/>
  <c r="H346" s="1"/>
  <c r="H354" s="1"/>
  <c r="G342"/>
  <c r="G346" s="1"/>
  <c r="G354" s="1"/>
  <c r="F342"/>
  <c r="F346" s="1"/>
  <c r="F354" s="1"/>
  <c r="E342"/>
  <c r="E346" s="1"/>
  <c r="E354" s="1"/>
  <c r="D342"/>
  <c r="D346" s="1"/>
  <c r="D354" s="1"/>
  <c r="R342"/>
  <c r="S342"/>
  <c r="Q342"/>
  <c r="P342"/>
  <c r="R336"/>
  <c r="R338"/>
  <c r="P338"/>
  <c r="R337"/>
  <c r="P337"/>
  <c r="P336"/>
  <c r="W334"/>
  <c r="C334" s="1"/>
  <c r="AB334" s="1"/>
  <c r="R331"/>
  <c r="W331" s="1"/>
  <c r="AA339"/>
  <c r="Z339"/>
  <c r="Y339"/>
  <c r="X339"/>
  <c r="V339"/>
  <c r="S339"/>
  <c r="Q339"/>
  <c r="N339"/>
  <c r="M339"/>
  <c r="L339"/>
  <c r="K339"/>
  <c r="J339"/>
  <c r="I339"/>
  <c r="H339"/>
  <c r="G339"/>
  <c r="F339"/>
  <c r="W321"/>
  <c r="AA324"/>
  <c r="Z324"/>
  <c r="Y324"/>
  <c r="X324"/>
  <c r="E324"/>
  <c r="D324"/>
  <c r="C322"/>
  <c r="AB322" s="1"/>
  <c r="W320"/>
  <c r="C320" s="1"/>
  <c r="AB320" s="1"/>
  <c r="W319"/>
  <c r="C319" s="1"/>
  <c r="AB319" s="1"/>
  <c r="W318"/>
  <c r="C318" s="1"/>
  <c r="AB318" s="1"/>
  <c r="W317"/>
  <c r="C317" s="1"/>
  <c r="AB317" s="1"/>
  <c r="W316"/>
  <c r="C316" s="1"/>
  <c r="AB316" s="1"/>
  <c r="W315"/>
  <c r="C315" s="1"/>
  <c r="AB315" s="1"/>
  <c r="W314"/>
  <c r="C314" s="1"/>
  <c r="AB314" s="1"/>
  <c r="W313"/>
  <c r="C298"/>
  <c r="C310"/>
  <c r="AB310" s="1"/>
  <c r="W302"/>
  <c r="C302" s="1"/>
  <c r="AB302" s="1"/>
  <c r="AA311"/>
  <c r="Z311"/>
  <c r="Y311"/>
  <c r="X311"/>
  <c r="V311"/>
  <c r="R311"/>
  <c r="N311"/>
  <c r="M311"/>
  <c r="K311"/>
  <c r="J311"/>
  <c r="E311"/>
  <c r="S311"/>
  <c r="Q311"/>
  <c r="L311"/>
  <c r="I311"/>
  <c r="H311"/>
  <c r="G311"/>
  <c r="D311"/>
  <c r="P311"/>
  <c r="W336" l="1"/>
  <c r="C336" s="1"/>
  <c r="W324"/>
  <c r="C331"/>
  <c r="W337"/>
  <c r="C337" s="1"/>
  <c r="AB337" s="1"/>
  <c r="W342"/>
  <c r="C326"/>
  <c r="R339"/>
  <c r="C338"/>
  <c r="AB338" s="1"/>
  <c r="C313"/>
  <c r="C321"/>
  <c r="AB321" s="1"/>
  <c r="F311"/>
  <c r="C295"/>
  <c r="AB295" s="1"/>
  <c r="C297"/>
  <c r="AB297" s="1"/>
  <c r="O311"/>
  <c r="C296"/>
  <c r="AB296" s="1"/>
  <c r="C299"/>
  <c r="AB299" s="1"/>
  <c r="AB326" l="1"/>
  <c r="C324"/>
  <c r="AB336"/>
  <c r="AB331"/>
  <c r="AB313"/>
  <c r="AB324" s="1"/>
  <c r="C342" l="1"/>
  <c r="AB342"/>
  <c r="P274" l="1"/>
  <c r="W274" s="1"/>
  <c r="O273"/>
  <c r="S272"/>
  <c r="S292" s="1"/>
  <c r="Q272"/>
  <c r="Q292" s="1"/>
  <c r="L271"/>
  <c r="L292" s="1"/>
  <c r="I271"/>
  <c r="I292" s="1"/>
  <c r="H271"/>
  <c r="H292" s="1"/>
  <c r="G271"/>
  <c r="G292" s="1"/>
  <c r="D271"/>
  <c r="D292" s="1"/>
  <c r="W273" l="1"/>
  <c r="O292"/>
  <c r="W271"/>
  <c r="C271" s="1"/>
  <c r="AB271" s="1"/>
  <c r="W272"/>
  <c r="C272" s="1"/>
  <c r="AB272" s="1"/>
  <c r="C273"/>
  <c r="AB273" s="1"/>
  <c r="P270"/>
  <c r="W270" s="1"/>
  <c r="C270" s="1"/>
  <c r="AB270" s="1"/>
  <c r="P269"/>
  <c r="W269" s="1"/>
  <c r="P268"/>
  <c r="C274"/>
  <c r="AB274" s="1"/>
  <c r="C285"/>
  <c r="C286"/>
  <c r="C287"/>
  <c r="AA266"/>
  <c r="Z266"/>
  <c r="Y266"/>
  <c r="X266"/>
  <c r="W265"/>
  <c r="W264"/>
  <c r="C263"/>
  <c r="AB263" s="1"/>
  <c r="P292" l="1"/>
  <c r="C264"/>
  <c r="AB264" s="1"/>
  <c r="W266"/>
  <c r="Z285"/>
  <c r="Z287"/>
  <c r="AB287" s="1"/>
  <c r="Z286"/>
  <c r="AB286" s="1"/>
  <c r="W268"/>
  <c r="W292" s="1"/>
  <c r="C269"/>
  <c r="AB269" s="1"/>
  <c r="C261"/>
  <c r="C262"/>
  <c r="AB262" s="1"/>
  <c r="C265"/>
  <c r="AB265" s="1"/>
  <c r="AB285" l="1"/>
  <c r="Z292"/>
  <c r="C268"/>
  <c r="C292" s="1"/>
  <c r="C266"/>
  <c r="AB261"/>
  <c r="AB266" s="1"/>
  <c r="AB268" l="1"/>
  <c r="AB292" s="1"/>
  <c r="S259"/>
  <c r="R259"/>
  <c r="Q259"/>
  <c r="O259"/>
  <c r="N259"/>
  <c r="M259"/>
  <c r="L259"/>
  <c r="K259"/>
  <c r="J259"/>
  <c r="I259"/>
  <c r="H259"/>
  <c r="G259"/>
  <c r="F259"/>
  <c r="E259"/>
  <c r="D259"/>
  <c r="W259"/>
  <c r="C68"/>
  <c r="AB68" s="1"/>
  <c r="AB69"/>
  <c r="C70"/>
  <c r="C71"/>
  <c r="C72"/>
  <c r="C73"/>
  <c r="C74"/>
  <c r="C75"/>
  <c r="C76"/>
  <c r="C77"/>
  <c r="C203"/>
  <c r="C78"/>
  <c r="C79"/>
  <c r="C80"/>
  <c r="Z80" s="1"/>
  <c r="C81"/>
  <c r="C82"/>
  <c r="C83"/>
  <c r="C84"/>
  <c r="C85"/>
  <c r="C86"/>
  <c r="C87"/>
  <c r="C88"/>
  <c r="C89"/>
  <c r="C90"/>
  <c r="C91"/>
  <c r="C92"/>
  <c r="AB92" s="1"/>
  <c r="C95"/>
  <c r="C96"/>
  <c r="C97"/>
  <c r="C98"/>
  <c r="C99"/>
  <c r="C100"/>
  <c r="C101"/>
  <c r="C102"/>
  <c r="C103"/>
  <c r="C104"/>
  <c r="C105"/>
  <c r="C106"/>
  <c r="C107"/>
  <c r="C108"/>
  <c r="C115"/>
  <c r="C116"/>
  <c r="C117"/>
  <c r="C118"/>
  <c r="C119"/>
  <c r="C121"/>
  <c r="AB121" s="1"/>
  <c r="C122"/>
  <c r="AB122" s="1"/>
  <c r="C128"/>
  <c r="C129"/>
  <c r="C130"/>
  <c r="C131"/>
  <c r="C132"/>
  <c r="C133"/>
  <c r="C134"/>
  <c r="C135"/>
  <c r="C136"/>
  <c r="C137"/>
  <c r="C141"/>
  <c r="AB141" s="1"/>
  <c r="C143"/>
  <c r="AB143" s="1"/>
  <c r="C168"/>
  <c r="AB168" s="1"/>
  <c r="C169"/>
  <c r="AB169" s="1"/>
  <c r="C170"/>
  <c r="AB170" s="1"/>
  <c r="C563"/>
  <c r="C186"/>
  <c r="Z186" s="1"/>
  <c r="C189"/>
  <c r="Z189" s="1"/>
  <c r="C193"/>
  <c r="AB193" s="1"/>
  <c r="C196"/>
  <c r="AB196" s="1"/>
  <c r="C197"/>
  <c r="AB197" s="1"/>
  <c r="C199"/>
  <c r="AB199" s="1"/>
  <c r="C200"/>
  <c r="AB200" s="1"/>
  <c r="C201"/>
  <c r="AB201" s="1"/>
  <c r="C204"/>
  <c r="AB204" s="1"/>
  <c r="C205"/>
  <c r="AB205" s="1"/>
  <c r="C212"/>
  <c r="AB212" s="1"/>
  <c r="C216"/>
  <c r="C217"/>
  <c r="C218"/>
  <c r="C219"/>
  <c r="C223"/>
  <c r="AB223" s="1"/>
  <c r="C228"/>
  <c r="C229"/>
  <c r="C230"/>
  <c r="AB230" s="1"/>
  <c r="C237"/>
  <c r="C238"/>
  <c r="C239"/>
  <c r="C240"/>
  <c r="C241"/>
  <c r="AB241" s="1"/>
  <c r="C242"/>
  <c r="C243"/>
  <c r="C244"/>
  <c r="C245"/>
  <c r="AB65"/>
  <c r="C64"/>
  <c r="AB64" s="1"/>
  <c r="C57"/>
  <c r="AB186" l="1"/>
  <c r="AB189"/>
  <c r="Z563"/>
  <c r="C58"/>
  <c r="C249" s="1"/>
  <c r="AB563" l="1"/>
  <c r="Z656"/>
  <c r="Z410" s="1"/>
  <c r="AB259"/>
  <c r="C259"/>
  <c r="Z249"/>
  <c r="AB249"/>
  <c r="AB50" l="1"/>
  <c r="C48"/>
  <c r="AB48" s="1"/>
  <c r="H42"/>
  <c r="W47" l="1"/>
  <c r="W55" s="1"/>
  <c r="C47" l="1"/>
  <c r="AB47" s="1"/>
  <c r="C46"/>
  <c r="C55" l="1"/>
  <c r="AB46"/>
  <c r="AB55" s="1"/>
  <c r="Q43"/>
  <c r="Q44" s="1"/>
  <c r="O44"/>
  <c r="E44"/>
  <c r="F44"/>
  <c r="H44"/>
  <c r="J44"/>
  <c r="K44"/>
  <c r="M44"/>
  <c r="N44"/>
  <c r="P44"/>
  <c r="R44"/>
  <c r="S44"/>
  <c r="V44"/>
  <c r="X44"/>
  <c r="Y44"/>
  <c r="Z44"/>
  <c r="AA44"/>
  <c r="I43"/>
  <c r="L43"/>
  <c r="D42"/>
  <c r="W42" s="1"/>
  <c r="I41"/>
  <c r="W41" s="1"/>
  <c r="L40" l="1"/>
  <c r="I40"/>
  <c r="G40"/>
  <c r="D40"/>
  <c r="C41"/>
  <c r="AB41" s="1"/>
  <c r="C42"/>
  <c r="AB42" s="1"/>
  <c r="C43"/>
  <c r="W40" l="1"/>
  <c r="C40" s="1"/>
  <c r="AB40" s="1"/>
  <c r="AB43"/>
  <c r="L39"/>
  <c r="I39"/>
  <c r="I44" s="1"/>
  <c r="G39"/>
  <c r="G44" s="1"/>
  <c r="D39"/>
  <c r="D44" s="1"/>
  <c r="S28"/>
  <c r="S37" s="1"/>
  <c r="Q28"/>
  <c r="Q37" s="1"/>
  <c r="I28"/>
  <c r="I37" s="1"/>
  <c r="H28"/>
  <c r="H37" s="1"/>
  <c r="G28"/>
  <c r="G37" s="1"/>
  <c r="D28"/>
  <c r="D37" s="1"/>
  <c r="W28" l="1"/>
  <c r="W37" s="1"/>
  <c r="W39"/>
  <c r="C39" s="1"/>
  <c r="L44"/>
  <c r="C28" l="1"/>
  <c r="C37" s="1"/>
  <c r="W44"/>
  <c r="AB39"/>
  <c r="AB44" s="1"/>
  <c r="C44"/>
  <c r="AB28" l="1"/>
  <c r="AB37" s="1"/>
  <c r="V25"/>
  <c r="V11" s="1"/>
  <c r="S22"/>
  <c r="S438"/>
  <c r="S17"/>
  <c r="S16"/>
  <c r="S15"/>
  <c r="S14"/>
  <c r="S13"/>
  <c r="R22"/>
  <c r="R20"/>
  <c r="R14"/>
  <c r="R13"/>
  <c r="Q22"/>
  <c r="Q438"/>
  <c r="Q17"/>
  <c r="Q16"/>
  <c r="Q15"/>
  <c r="Q14"/>
  <c r="Q13"/>
  <c r="D25"/>
  <c r="E25"/>
  <c r="E11" s="1"/>
  <c r="E10" s="1"/>
  <c r="F25"/>
  <c r="F11" s="1"/>
  <c r="F10" s="1"/>
  <c r="G25"/>
  <c r="G11" s="1"/>
  <c r="G10" s="1"/>
  <c r="H25"/>
  <c r="H11" s="1"/>
  <c r="H10" s="1"/>
  <c r="I25"/>
  <c r="I11" s="1"/>
  <c r="I10" s="1"/>
  <c r="J25"/>
  <c r="J11" s="1"/>
  <c r="J10" s="1"/>
  <c r="K25"/>
  <c r="K11" s="1"/>
  <c r="K10" s="1"/>
  <c r="L25"/>
  <c r="L11" s="1"/>
  <c r="L10" s="1"/>
  <c r="M25"/>
  <c r="M11" s="1"/>
  <c r="M10" s="1"/>
  <c r="N25"/>
  <c r="N11" s="1"/>
  <c r="N10" s="1"/>
  <c r="O25"/>
  <c r="X25"/>
  <c r="X11" s="1"/>
  <c r="X10" s="1"/>
  <c r="Y25"/>
  <c r="Y11" s="1"/>
  <c r="Y10" s="1"/>
  <c r="Z25"/>
  <c r="Z11" s="1"/>
  <c r="Z10" s="1"/>
  <c r="AA25"/>
  <c r="AA11" s="1"/>
  <c r="AA10" s="1"/>
  <c r="AC25"/>
  <c r="P24"/>
  <c r="P25" s="1"/>
  <c r="Q410" l="1"/>
  <c r="S410"/>
  <c r="AC11"/>
  <c r="AC10" s="1"/>
  <c r="W20"/>
  <c r="C20" s="1"/>
  <c r="W13"/>
  <c r="W15"/>
  <c r="W17"/>
  <c r="W22"/>
  <c r="R25"/>
  <c r="R11" s="1"/>
  <c r="R10" s="1"/>
  <c r="Q25"/>
  <c r="Q11" s="1"/>
  <c r="W16"/>
  <c r="W438"/>
  <c r="S25"/>
  <c r="S11" s="1"/>
  <c r="W14"/>
  <c r="Q10" l="1"/>
  <c r="S10"/>
  <c r="W410"/>
  <c r="W25"/>
  <c r="C14"/>
  <c r="AB14" s="1"/>
  <c r="C15"/>
  <c r="AB15" s="1"/>
  <c r="C16"/>
  <c r="AB16" s="1"/>
  <c r="C17"/>
  <c r="AB17" s="1"/>
  <c r="AB20"/>
  <c r="C438"/>
  <c r="C22"/>
  <c r="AB22" s="1"/>
  <c r="C23"/>
  <c r="AB23" s="1"/>
  <c r="C24"/>
  <c r="AB24" s="1"/>
  <c r="C13"/>
  <c r="AB13" s="1"/>
  <c r="A14"/>
  <c r="A15" s="1"/>
  <c r="A16" s="1"/>
  <c r="A17" s="1"/>
  <c r="A18" s="1"/>
  <c r="A19" s="1"/>
  <c r="A20" s="1"/>
  <c r="A21" s="1"/>
  <c r="A22" s="1"/>
  <c r="A23" s="1"/>
  <c r="A24" s="1"/>
  <c r="AB438" l="1"/>
  <c r="AB25"/>
  <c r="C25"/>
  <c r="A27" l="1"/>
  <c r="A28" s="1"/>
  <c r="A29" s="1"/>
  <c r="A30" l="1"/>
  <c r="A31" s="1"/>
  <c r="A32" s="1"/>
  <c r="A33" s="1"/>
  <c r="A34" s="1"/>
  <c r="A35" s="1"/>
  <c r="A36" s="1"/>
  <c r="A39" s="1"/>
  <c r="A40" s="1"/>
  <c r="A441"/>
  <c r="A442" s="1"/>
  <c r="A443" s="1"/>
  <c r="A444" s="1"/>
  <c r="A445" l="1"/>
  <c r="A446" s="1"/>
  <c r="A447" s="1"/>
  <c r="A448" s="1"/>
  <c r="A449" s="1"/>
  <c r="A450" s="1"/>
  <c r="A451" s="1"/>
  <c r="A452" s="1"/>
  <c r="A453" s="1"/>
  <c r="A454" s="1"/>
  <c r="A457" s="1"/>
  <c r="A41"/>
  <c r="A42" s="1"/>
  <c r="A43" s="1"/>
  <c r="A46" s="1"/>
  <c r="A47" s="1"/>
  <c r="A48" s="1"/>
  <c r="A49" s="1"/>
  <c r="A50" s="1"/>
  <c r="A51" s="1"/>
  <c r="A52" s="1"/>
  <c r="A53" s="1"/>
  <c r="A54" s="1"/>
  <c r="W311"/>
  <c r="C294"/>
  <c r="C311" s="1"/>
  <c r="A458" l="1"/>
  <c r="A57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B294"/>
  <c r="AB311" s="1"/>
  <c r="A124" l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459"/>
  <c r="A460" s="1"/>
  <c r="A461" s="1"/>
  <c r="A462" s="1"/>
  <c r="A463" s="1"/>
  <c r="A464" s="1"/>
  <c r="A467" s="1"/>
  <c r="A468" s="1"/>
  <c r="A469" s="1"/>
  <c r="A470" s="1"/>
  <c r="A471" s="1"/>
  <c r="A472" s="1"/>
  <c r="A473" s="1"/>
  <c r="A474" s="1"/>
  <c r="A475" s="1"/>
  <c r="A476" s="1"/>
  <c r="A477" s="1"/>
  <c r="C352"/>
  <c r="A144" l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478"/>
  <c r="A479" s="1"/>
  <c r="C353"/>
  <c r="C354" s="1"/>
  <c r="AB352"/>
  <c r="AB353" s="1"/>
  <c r="AB354" s="1"/>
  <c r="C362"/>
  <c r="C366" s="1"/>
  <c r="C384" s="1"/>
  <c r="A181" l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480"/>
  <c r="AB362"/>
  <c r="C387"/>
  <c r="C391" s="1"/>
  <c r="A481" l="1"/>
  <c r="A482" s="1"/>
  <c r="A483" s="1"/>
  <c r="A486" s="1"/>
  <c r="A487" s="1"/>
  <c r="A488" s="1"/>
  <c r="A489" s="1"/>
  <c r="A490" s="1"/>
  <c r="A491" s="1"/>
  <c r="A492" s="1"/>
  <c r="A493" s="1"/>
  <c r="A208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51" s="1"/>
  <c r="A252" s="1"/>
  <c r="A253" s="1"/>
  <c r="A254" s="1"/>
  <c r="A255" s="1"/>
  <c r="A256" s="1"/>
  <c r="A257" s="1"/>
  <c r="A258" s="1"/>
  <c r="AB366"/>
  <c r="AB384" s="1"/>
  <c r="C396"/>
  <c r="AB387"/>
  <c r="A494" l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B391"/>
  <c r="AB396" s="1"/>
  <c r="A261"/>
  <c r="P339"/>
  <c r="P11" s="1"/>
  <c r="P10" s="1"/>
  <c r="D339"/>
  <c r="D11" s="1"/>
  <c r="D10" s="1"/>
  <c r="A262" l="1"/>
  <c r="A520" l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263"/>
  <c r="A264" s="1"/>
  <c r="A265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4" s="1"/>
  <c r="A295" s="1"/>
  <c r="W339"/>
  <c r="W11" s="1"/>
  <c r="W10" s="1"/>
  <c r="C327"/>
  <c r="C330"/>
  <c r="AB330" s="1"/>
  <c r="C329"/>
  <c r="AB329" s="1"/>
  <c r="C328"/>
  <c r="AB328" s="1"/>
  <c r="A543" l="1"/>
  <c r="A544" s="1"/>
  <c r="A545" s="1"/>
  <c r="A296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3" s="1"/>
  <c r="A314" s="1"/>
  <c r="A315" s="1"/>
  <c r="A316" s="1"/>
  <c r="A317" s="1"/>
  <c r="A318" s="1"/>
  <c r="A319" s="1"/>
  <c r="A320" s="1"/>
  <c r="A321" s="1"/>
  <c r="A322" s="1"/>
  <c r="A323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C339"/>
  <c r="AB327"/>
  <c r="AB339" s="1"/>
  <c r="AB11" s="1"/>
  <c r="O339"/>
  <c r="O11" s="1"/>
  <c r="O10" s="1"/>
  <c r="A546" l="1"/>
  <c r="A341"/>
  <c r="A345" s="1"/>
  <c r="A348" s="1"/>
  <c r="A349" s="1"/>
  <c r="A547" l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350"/>
  <c r="A351" s="1"/>
  <c r="A352" s="1"/>
  <c r="A357" s="1"/>
  <c r="A358" s="1"/>
  <c r="A562" l="1"/>
  <c r="A563" s="1"/>
  <c r="A359"/>
  <c r="A362" s="1"/>
  <c r="A363" s="1"/>
  <c r="A364" s="1"/>
  <c r="A365" s="1"/>
  <c r="A368" s="1"/>
  <c r="A371" s="1"/>
  <c r="A374" s="1"/>
  <c r="A375" s="1"/>
  <c r="A564" l="1"/>
  <c r="A565" s="1"/>
  <c r="A376"/>
  <c r="A377" s="1"/>
  <c r="A378" s="1"/>
  <c r="A381" s="1"/>
  <c r="A382" s="1"/>
  <c r="A387" s="1"/>
  <c r="A388" s="1"/>
  <c r="A566" l="1"/>
  <c r="A567" s="1"/>
  <c r="A568" s="1"/>
  <c r="A569" s="1"/>
  <c r="A570" s="1"/>
  <c r="A571" s="1"/>
  <c r="A572" s="1"/>
  <c r="A573" s="1"/>
  <c r="A389"/>
  <c r="A390" s="1"/>
  <c r="A393" s="1"/>
  <c r="A394" s="1"/>
  <c r="A399" s="1"/>
  <c r="A400" s="1"/>
  <c r="A401" s="1"/>
  <c r="A402" s="1"/>
  <c r="A403" s="1"/>
  <c r="A404" s="1"/>
  <c r="A405" s="1"/>
  <c r="A406" s="1"/>
  <c r="A407" s="1"/>
  <c r="A574" l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C11"/>
  <c r="A622" l="1"/>
  <c r="A623" s="1"/>
  <c r="A624" s="1"/>
  <c r="A625" s="1"/>
  <c r="A626" s="1"/>
  <c r="A627" s="1"/>
  <c r="A628" s="1"/>
  <c r="A629" s="1"/>
  <c r="A630" s="1"/>
  <c r="A631" s="1"/>
  <c r="A632" s="1"/>
  <c r="A633" s="1"/>
  <c r="A634" s="1"/>
  <c r="V656"/>
  <c r="V410" s="1"/>
  <c r="V10" s="1"/>
  <c r="A635" l="1"/>
  <c r="C656"/>
  <c r="AB656"/>
  <c r="AB410" s="1"/>
  <c r="AB10" s="1"/>
  <c r="A636" l="1"/>
  <c r="A637" s="1"/>
  <c r="A638" s="1"/>
  <c r="C410"/>
  <c r="C10" s="1"/>
  <c r="A639" l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8" s="1"/>
  <c r="A659" s="1"/>
  <c r="A660" s="1"/>
  <c r="A661" s="1"/>
  <c r="A662" s="1"/>
  <c r="A663" s="1"/>
  <c r="A664" s="1"/>
  <c r="A665" s="1"/>
  <c r="A666" s="1"/>
  <c r="A667" s="1"/>
  <c r="A668" s="1"/>
  <c r="A669" l="1"/>
  <c r="A670" s="1"/>
  <c r="A671" s="1"/>
  <c r="A672" s="1"/>
  <c r="A673" s="1"/>
  <c r="A674" s="1"/>
  <c r="A675" s="1"/>
  <c r="A676" s="1"/>
  <c r="A677" s="1"/>
  <c r="A678" l="1"/>
  <c r="A679" s="1"/>
  <c r="A680" l="1"/>
  <c r="A681" s="1"/>
  <c r="A682" s="1"/>
  <c r="A683" s="1"/>
  <c r="A684" l="1"/>
  <c r="A685" s="1"/>
  <c r="A686" s="1"/>
  <c r="A687" s="1"/>
  <c r="A688" s="1"/>
  <c r="A689" s="1"/>
  <c r="A690" s="1"/>
  <c r="A691" s="1"/>
  <c r="A692" s="1"/>
  <c r="A693" s="1"/>
  <c r="A694" s="1"/>
  <c r="A695" l="1"/>
  <c r="A696" s="1"/>
  <c r="A697" s="1"/>
  <c r="A698" s="1"/>
  <c r="A699" s="1"/>
  <c r="A700" s="1"/>
  <c r="A701" s="1"/>
  <c r="A702" s="1"/>
  <c r="A703" s="1"/>
  <c r="A704" s="1"/>
  <c r="A707" s="1"/>
  <c r="A708" s="1"/>
  <c r="A709" s="1"/>
  <c r="A710" s="1"/>
  <c r="A711" s="1"/>
  <c r="A712" s="1"/>
  <c r="A713" s="1"/>
  <c r="A714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l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l="1"/>
  <c r="A750" s="1"/>
  <c r="A751" s="1"/>
  <c r="A752" l="1"/>
  <c r="A753" s="1"/>
  <c r="A754" s="1"/>
  <c r="A755" s="1"/>
  <c r="A756" s="1"/>
  <c r="A757" l="1"/>
  <c r="A758" s="1"/>
  <c r="A759" s="1"/>
  <c r="A760" s="1"/>
  <c r="A761" s="1"/>
  <c r="A762" l="1"/>
  <c r="A763" s="1"/>
  <c r="A764" l="1"/>
  <c r="A765" s="1"/>
  <c r="A766" s="1"/>
  <c r="A767" s="1"/>
  <c r="A768" s="1"/>
  <c r="A769" s="1"/>
  <c r="A770" l="1"/>
  <c r="A771" s="1"/>
  <c r="A772" s="1"/>
  <c r="A775" s="1"/>
  <c r="A776" s="1"/>
  <c r="A777" l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l="1"/>
  <c r="A793" s="1"/>
  <c r="A794" s="1"/>
  <c r="A795" s="1"/>
  <c r="A796" s="1"/>
  <c r="A797" s="1"/>
  <c r="A798" s="1"/>
  <c r="A799" s="1"/>
  <c r="A800" s="1"/>
  <c r="A801" s="1"/>
  <c r="A802" s="1"/>
  <c r="A803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2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l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l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l="1"/>
  <c r="A971" s="1"/>
  <c r="A972" s="1"/>
  <c r="A973" s="1"/>
  <c r="A974" s="1"/>
  <c r="A975" s="1"/>
  <c r="A976" s="1"/>
  <c r="A979" s="1"/>
  <c r="A980" s="1"/>
  <c r="A981" s="1"/>
  <c r="A982" s="1"/>
  <c r="A983" s="1"/>
  <c r="A984" s="1"/>
  <c r="A985" s="1"/>
  <c r="A986" l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1002" s="1"/>
  <c r="A1003" s="1"/>
  <c r="A1004" s="1"/>
  <c r="A1007" s="1"/>
  <c r="A1008" l="1"/>
  <c r="A1009" s="1"/>
  <c r="A1010" s="1"/>
  <c r="A1011" s="1"/>
  <c r="A1012" s="1"/>
  <c r="A1013" s="1"/>
  <c r="A1014" s="1"/>
  <c r="A1015" s="1"/>
  <c r="A1016" s="1"/>
  <c r="A1017" s="1"/>
  <c r="A1018" s="1"/>
  <c r="A1019" l="1"/>
  <c r="A1024" s="1"/>
  <c r="A1027" s="1"/>
  <c r="A1028" s="1"/>
  <c r="A1029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8" s="1"/>
  <c r="A1049" s="1"/>
  <c r="A1050" l="1"/>
  <c r="A1051" l="1"/>
  <c r="A1052" s="1"/>
  <c r="A1055" s="1"/>
  <c r="A1058" s="1"/>
  <c r="A1059" s="1"/>
  <c r="A1060" s="1"/>
  <c r="A1061" s="1"/>
  <c r="A1062" s="1"/>
  <c r="A1065" s="1"/>
  <c r="A1066" s="1"/>
  <c r="A1071" s="1"/>
  <c r="A1072" s="1"/>
  <c r="A1073" s="1"/>
  <c r="A1074" s="1"/>
  <c r="A1077" s="1"/>
  <c r="A1078" s="1"/>
  <c r="A1083" s="1"/>
</calcChain>
</file>

<file path=xl/comments1.xml><?xml version="1.0" encoding="utf-8"?>
<comments xmlns="http://schemas.openxmlformats.org/spreadsheetml/2006/main">
  <authors>
    <author>zeleninatn</author>
  </authors>
  <commentList>
    <comment ref="AG6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15006405,73</t>
        </r>
      </text>
    </comment>
    <comment ref="AH6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20949535,45</t>
        </r>
      </text>
    </comment>
    <comment ref="AG69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5979477,18</t>
        </r>
      </text>
    </comment>
    <comment ref="AH695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6871847,23</t>
        </r>
      </text>
    </comment>
    <comment ref="R781" authorId="0">
      <text>
        <r>
          <rPr>
            <b/>
            <sz val="9"/>
            <color indexed="81"/>
            <rFont val="Tahoma"/>
            <family val="2"/>
            <charset val="204"/>
          </rPr>
          <t>zeleninatn:отдельно заложен ремонт балконов</t>
        </r>
      </text>
    </comment>
    <comment ref="AG7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6922026,39</t>
        </r>
      </text>
    </comment>
    <comment ref="AH786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14184468,89</t>
        </r>
      </text>
    </comment>
    <comment ref="AG79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20119556,86</t>
        </r>
      </text>
    </comment>
    <comment ref="AH794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26630756,14</t>
        </r>
      </text>
    </comment>
    <comment ref="AG810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11478935,17</t>
        </r>
      </text>
    </comment>
    <comment ref="AG829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22061953,36</t>
        </r>
      </text>
    </comment>
    <comment ref="AH829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35692861,43</t>
        </r>
      </text>
    </comment>
    <comment ref="Z87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ВДП тоже за ОБ</t>
        </r>
      </text>
    </comment>
    <comment ref="AG94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3759621,33</t>
        </r>
      </text>
    </comment>
    <comment ref="AH94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10995385,22</t>
        </r>
      </text>
    </comment>
    <comment ref="AG987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18350539,84</t>
        </r>
      </text>
    </comment>
    <comment ref="R1248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 конструктиву</t>
        </r>
      </text>
    </comment>
    <comment ref="AG1302" authorId="0">
      <text>
        <r>
          <rPr>
            <b/>
            <sz val="9"/>
            <color indexed="81"/>
            <rFont val="Tahoma"/>
            <family val="2"/>
            <charset val="204"/>
          </rPr>
          <t>zeleninatn:</t>
        </r>
        <r>
          <rPr>
            <sz val="9"/>
            <color indexed="81"/>
            <rFont val="Tahoma"/>
            <family val="2"/>
            <charset val="204"/>
          </rPr>
          <t xml:space="preserve">
пока считаем за экон 2025, а потом в 2026 берем</t>
        </r>
      </text>
    </comment>
  </commentList>
</comments>
</file>

<file path=xl/sharedStrings.xml><?xml version="1.0" encoding="utf-8"?>
<sst xmlns="http://schemas.openxmlformats.org/spreadsheetml/2006/main" count="1815" uniqueCount="1321">
  <si>
    <t>Форма 2</t>
  </si>
  <si>
    <t>СВЕДЕНИЯ О СТОИМОСТИ И ИСТОЧНИКАХ ФИНАНСИРОВАНИЯ</t>
  </si>
  <si>
    <t>№ п/п</t>
  </si>
  <si>
    <t>Адрес МКД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</si>
  <si>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</si>
  <si>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</si>
  <si>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</si>
  <si>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</si>
  <si>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</si>
  <si>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</si>
  <si>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</si>
  <si>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фундамента, в т.ч. восстановление отмостки</t>
  </si>
  <si>
    <t>В том числе:</t>
  </si>
  <si>
    <t>Разработка проектной документации,*****</t>
  </si>
  <si>
    <t>Строительный контроль******</t>
  </si>
  <si>
    <t>Авторский надзор*******</t>
  </si>
  <si>
    <t>Средства федерального бюджета</t>
  </si>
  <si>
    <t>Средства областного бюджета</t>
  </si>
  <si>
    <t>Средства местного бюджета</t>
  </si>
  <si>
    <t>Средства собственников помещений в МКД</t>
  </si>
  <si>
    <t>Иные не запрещенные законом</t>
  </si>
  <si>
    <t>горячего водоснабжения</t>
  </si>
  <si>
    <t>холодного водоснабжения</t>
  </si>
  <si>
    <t>водоотведения</t>
  </si>
  <si>
    <t>теплоснабжения</t>
  </si>
  <si>
    <t>электроснабжения</t>
  </si>
  <si>
    <t>газоснабжения</t>
  </si>
  <si>
    <t>руб.</t>
  </si>
  <si>
    <t>ед.</t>
  </si>
  <si>
    <t>х</t>
  </si>
  <si>
    <t>Итого по Мурманской области на 2023 -2025 годы:</t>
  </si>
  <si>
    <t>Итого по  Мурманской области  на 2023 год:</t>
  </si>
  <si>
    <t>г. Апатиты, ул. Ленина, д. 6</t>
  </si>
  <si>
    <t>г. Апатиты, ул. Ленина, д. 10</t>
  </si>
  <si>
    <t>г. Апатиты, ул. Ленина, д. 16</t>
  </si>
  <si>
    <t>г. Апатиты, ул. Московская, д. 1</t>
  </si>
  <si>
    <t>г. Апатиты, ул. Московская, д. 6</t>
  </si>
  <si>
    <t>г. Апатиты, ул. Фестивальная, д. 1</t>
  </si>
  <si>
    <t>г. Апатиты, ул. Фестивальная, д. 9</t>
  </si>
  <si>
    <t>г. Апатиты, ул. Ферсмана, д. 10</t>
  </si>
  <si>
    <t>г. Апатиты, ул. Фестивальная, д. 8</t>
  </si>
  <si>
    <t>г. Апатиты, ул. Фестивальная, д. 15</t>
  </si>
  <si>
    <t>Итого по Муниципальному образованию на 2023 год:</t>
  </si>
  <si>
    <t>г. Кировск, ул. Хибиногорская, д. 33</t>
  </si>
  <si>
    <t>г. Апатиты, ул. Победы, д. 3</t>
  </si>
  <si>
    <t>г. Апатиты, ул. Северная, д. 22</t>
  </si>
  <si>
    <t>г. Апатиты, ул. Фестивальная, д. 4</t>
  </si>
  <si>
    <t>г. Кировск, ул. Мира, д. 14</t>
  </si>
  <si>
    <t>г. Ковдор, ул. Кирова, д.10</t>
  </si>
  <si>
    <t>г. Ковдор, пл. Ленина, д.2</t>
  </si>
  <si>
    <t>г. Ковдор, ул. Кирова, д. 2</t>
  </si>
  <si>
    <t>г. Ковдор, ул. Победы, д. 8</t>
  </si>
  <si>
    <t>г. Мончегорск, ул. Ферсмана, д. 5</t>
  </si>
  <si>
    <t>г. Мончегорск, пр. Металлургов, д. 11</t>
  </si>
  <si>
    <t>г. Мончегорск, ул. Гагарина, д. 5</t>
  </si>
  <si>
    <t>г. Мончегорск, наб. Климентьева, д. 1</t>
  </si>
  <si>
    <t>г. Мурманск, ул. Адмирала флота Лобова, д. 1</t>
  </si>
  <si>
    <t>г. Мурманск, ул. Адмирала флота Лобова, д. 5</t>
  </si>
  <si>
    <t>г. Мурманск, ул. Адмирала флота Лобова, д. 44</t>
  </si>
  <si>
    <t>г. Мурманск, ул. Адмирала флота Лобова, д. 47</t>
  </si>
  <si>
    <t>г. Мурманск, ул. Академика Павлова, д. 2</t>
  </si>
  <si>
    <t>г. Мурманск, ул. Аскольдовцев, д. 16</t>
  </si>
  <si>
    <t>г. Мурманск, ул. Аскольдовцев, д. 18</t>
  </si>
  <si>
    <t>г. Мурманск, ул. Аскольдовцев, д. 20</t>
  </si>
  <si>
    <t>г. Мурманск, ул. Аскольдовцев, д. 22</t>
  </si>
  <si>
    <t>г. Мурманск, ул. Аскольдовцев, д. 24</t>
  </si>
  <si>
    <t>г. Мурманск, ул. Аскольдовцев, д. 26/1</t>
  </si>
  <si>
    <t>г. Мурманск, ул. Аскольдовцев, д. 26/2</t>
  </si>
  <si>
    <t>г. Мурманск, ул. Аскольдовцев, д. 26/3</t>
  </si>
  <si>
    <t>г. Мурманск, ул. Аскольдовцев, д. 30/1</t>
  </si>
  <si>
    <t>г. Мурманск, ул. Аскольдовцев, д. 30/2</t>
  </si>
  <si>
    <t>г. Мурманск, ул. Аскольдовцев, д. 32</t>
  </si>
  <si>
    <t>г. Мурманск, ул. Аскольдовцев, д. 34</t>
  </si>
  <si>
    <t>г. Мурманск, ул. Аскольдовцев, д. 36</t>
  </si>
  <si>
    <t>г. Мурманск, ул. Володарского, д. 3</t>
  </si>
  <si>
    <t>г. Мурманск, ул. Володарского, д. 13</t>
  </si>
  <si>
    <t>г. Мурманск, ул. Воровского, д. 11</t>
  </si>
  <si>
    <t>г. Мурманск, ул. Воровского, д. 13</t>
  </si>
  <si>
    <t>г. Мурманск, ул. Кильдинская, д. 25</t>
  </si>
  <si>
    <t xml:space="preserve">г. Мурманск, ул. Коммуны, д. 18 </t>
  </si>
  <si>
    <t>г. Мурманск, ул. Коммуны, д. 20</t>
  </si>
  <si>
    <t>г. Мурманск, пр. Ленина, д. 45</t>
  </si>
  <si>
    <t>г. Мурманск, пр. Ленина, д. 51</t>
  </si>
  <si>
    <t>г. Мурманск, пр. Ленина, д. 53</t>
  </si>
  <si>
    <t>г. Мурманск, пр. Ленина, д. 60</t>
  </si>
  <si>
    <t>г. Мурманск, пр. Ленина, д. 61</t>
  </si>
  <si>
    <t>г. Мурманск, пр. Ленина, д. 62/11</t>
  </si>
  <si>
    <t>г. Мурманск, пр. Ленина, д. 63</t>
  </si>
  <si>
    <t>г. Мурманск, пр. Ленина, д. 65</t>
  </si>
  <si>
    <t>г. Мурманск, пр. Ленина, д. 67</t>
  </si>
  <si>
    <t>г. Мурманск, пр. Ленина, д. 74</t>
  </si>
  <si>
    <t>г. Мурманск, пр. Ленина, д. 76</t>
  </si>
  <si>
    <t>г. Мурманск, пр. Ленина, д. 77</t>
  </si>
  <si>
    <t>г. Мурманск, пр. Ленина, д. 79</t>
  </si>
  <si>
    <t xml:space="preserve">г. Мурманск, пр. Ленина, д. 80 </t>
  </si>
  <si>
    <t>г. Мурманск, ул. Ломоносова, д. 13</t>
  </si>
  <si>
    <t>г. Мурманск, ул. Морская, д. 5</t>
  </si>
  <si>
    <t>г. Мурманск, ул. Октябрьская, д. 22</t>
  </si>
  <si>
    <t>г. Мурманск, ул. Олега Кошевого, д. 4</t>
  </si>
  <si>
    <t>г. Мурманск, ул. Олега Кошевого, д. 6 корп. 1</t>
  </si>
  <si>
    <t>г. Мурманск, ул. Олега Кошевого, д. 16 корп. 2</t>
  </si>
  <si>
    <t>г. Мурманск, ул. Планерная, д. 3</t>
  </si>
  <si>
    <t>г. Мурманск, ул. Полярный Круг, д. 2</t>
  </si>
  <si>
    <t>г. Мурманск, пер. Русанова, д. 3</t>
  </si>
  <si>
    <t>г. Мурманск, пр-д Рыбный, д. 4</t>
  </si>
  <si>
    <t>г. Мурманск, ул. Свердлова, д. 12 корп. 2</t>
  </si>
  <si>
    <t>г. Мурманск, ул. Свердлова, д. 12 корп. 4</t>
  </si>
  <si>
    <t>г. Мурманск, ул. Свердлова, д. 54</t>
  </si>
  <si>
    <t>г. Мурманск, ул. Чумбарова-Лучинского, д. 6</t>
  </si>
  <si>
    <t>г. Мурманск, ул. Чумбарова-Лучинского, д. 8</t>
  </si>
  <si>
    <t>г. Мурманск, ул. Чумбарова-Лучинского, д. 10</t>
  </si>
  <si>
    <t>г. Мурманск, ул. Чумбарова-Лучинского, д. 12</t>
  </si>
  <si>
    <t>г. Мурманск, ул. Чумбарова-Лучинского, д. 46 корп. 1</t>
  </si>
  <si>
    <t>г. Мурманск, ул. Чумбарова-Лучинского, д. 46 корп. 2</t>
  </si>
  <si>
    <t>г. Мурманск, ул. Чумбарова-Лучинского, д. 48 корп. 1</t>
  </si>
  <si>
    <t>г. Мурманск, ул. Чумбарова-Лучинского, д. 50</t>
  </si>
  <si>
    <t>г. Мурманск, ул. Юрия Гагарина, д. 25 корп. 2</t>
  </si>
  <si>
    <t>г. Оленегорск, ул. Комсомола, д. 1</t>
  </si>
  <si>
    <t>г. Оленегорск, ул. Мира, д. 35</t>
  </si>
  <si>
    <t>г. Оленегорск, ул. Мира, д. 37</t>
  </si>
  <si>
    <t>г. Оленегорск, ул. Мира, д. 44</t>
  </si>
  <si>
    <t>г. Оленегорск, ул. Мира, д. 46</t>
  </si>
  <si>
    <t>г. Полярные Зори, ул. Станция Полярные Зори, д. 6</t>
  </si>
  <si>
    <t>нп. Зашеек, ул. Северная аллея, д. 7/2</t>
  </si>
  <si>
    <t>г. Полярные Зори, ул. Сивко, д. 8</t>
  </si>
  <si>
    <t>г. Заполярный, ул. Ленина, д.16</t>
  </si>
  <si>
    <t>г. Заполярный, ул. Ленина, д.18</t>
  </si>
  <si>
    <t>г. Заполярный, ул. Мира, д.2</t>
  </si>
  <si>
    <t>нп. Луостари, ул. Нижняя, д. 5</t>
  </si>
  <si>
    <t>нп. Луостари, ул. Нижняя, д. 9</t>
  </si>
  <si>
    <t>нп. Луостари, ул. Нижняя, д. 10</t>
  </si>
  <si>
    <t>нп. Луостари, ул. Нижняя, д. 11</t>
  </si>
  <si>
    <t>нп. Луостари, ул. Нижняя, д. 12</t>
  </si>
  <si>
    <t>нп. Луостари, ул. Нижняя, д. 13</t>
  </si>
  <si>
    <t>нп. Луостари, ул. Верхняя, д. 1</t>
  </si>
  <si>
    <t>нп. Луостари, ул. Верхняя, д. 3</t>
  </si>
  <si>
    <t>г. Гаджиево, ул. М. Гаджиева, д. 24</t>
  </si>
  <si>
    <t>г. Полярный, ул. Советская, д. 14</t>
  </si>
  <si>
    <t>г. Полярный, ул. Красный Горн,  д. 1</t>
  </si>
  <si>
    <t>г. Полярный, ул.Гагарина, д. 6</t>
  </si>
  <si>
    <t>г. Полярный, ул. Героев Тумана, д. 5</t>
  </si>
  <si>
    <t xml:space="preserve">г. Полярный, ул. Сивко, д. 4 </t>
  </si>
  <si>
    <t xml:space="preserve">г. Полярный, ул. Героев Тумана д. 2   </t>
  </si>
  <si>
    <t xml:space="preserve">г. Полярный, ул. Героев Тумана д. 3   </t>
  </si>
  <si>
    <t>г. Снежногорск, ул. Стеблина, д. 20</t>
  </si>
  <si>
    <t>г. Заозерск, ул. Генерала Чумаченко, д.1</t>
  </si>
  <si>
    <t>г. Заозерск, ул. Колышкина, д. 10</t>
  </si>
  <si>
    <t>г. Заозерск, ул. Ленинского Комсомола, д.12</t>
  </si>
  <si>
    <t>г. Заозерск, ул. Ленинского Комсомола, д.30</t>
  </si>
  <si>
    <t>г. Заозерск, ул. Ленинского Комсомола, д.32</t>
  </si>
  <si>
    <t>г. Заозерск, пер. Молодежный, д. 4</t>
  </si>
  <si>
    <t>г. Заозерск, ул. Строительная, д. 1</t>
  </si>
  <si>
    <t>г. Заозерск, ул. Строительная, д. 18</t>
  </si>
  <si>
    <t>г. Заозерск, ул. Флотская, д. 4</t>
  </si>
  <si>
    <t>г. Североморск, ул. Гвардейская, д. 34</t>
  </si>
  <si>
    <t>г. Североморск, ул. Гвардейская, д. 34 А</t>
  </si>
  <si>
    <t>г. Североморск, ул. Гвардейская, д. 36</t>
  </si>
  <si>
    <t>г. Североморск, ул. Вице-адмирала Падорина, д. 31</t>
  </si>
  <si>
    <t>нп. Североморск-3, ул. Героев-Североморцев, д. 15</t>
  </si>
  <si>
    <t>г. Североморск, ул. Сафонова, д. 12</t>
  </si>
  <si>
    <t>г. Североморск, ул. Сафонова, д. 17</t>
  </si>
  <si>
    <t>г. Североморск, ул. Морская, д. 12</t>
  </si>
  <si>
    <t>г. Североморск, ул. Авиаторов, д. 5</t>
  </si>
  <si>
    <t>г. Североморск, ул. Авиаторов, д. 7</t>
  </si>
  <si>
    <t>г. Кандалакша, ул. Спекова, д. 2</t>
  </si>
  <si>
    <t>г. Кандалакша, ул. Спекова, д. 11</t>
  </si>
  <si>
    <t>с. Териберка, ул. Школьная, д. 7</t>
  </si>
  <si>
    <t>с. Териберка, ул. Школьная, д. 8</t>
  </si>
  <si>
    <t>с. Териберка, ул. Школьная, д. 10</t>
  </si>
  <si>
    <t>с. Териберка, ул. Первая Пятилетка, д. 13А</t>
  </si>
  <si>
    <t xml:space="preserve">г. Кола, ул. Кривошеева, д. 6 </t>
  </si>
  <si>
    <t>г. Кола, ул. Кривошеева, д. 8</t>
  </si>
  <si>
    <t>пгт. Мурмаши, ул. Цесарского, д. 3</t>
  </si>
  <si>
    <t>пгт. Мурмаши, ул. Цесарского, д. 8</t>
  </si>
  <si>
    <t>пгт. Мурмаши, ул. Цесарского, д. 10</t>
  </si>
  <si>
    <t>пгт. Мурмаши, ул. Позднякова, д. 10</t>
  </si>
  <si>
    <t>пгт. Мурмаши, ул. Советская, д. 23</t>
  </si>
  <si>
    <t>пгт. Ревда, ул. Умбозерская, д.3</t>
  </si>
  <si>
    <t>пгт. Ревда, ул. Кузина д.11 корпус 2</t>
  </si>
  <si>
    <t>пгт. Ревда, ул. Кузина д.11 корпус 3</t>
  </si>
  <si>
    <t>Итого по Муниципальному образованию на 2024 год:</t>
  </si>
  <si>
    <t>г. Апатиты, ул. Северная, д. 26</t>
  </si>
  <si>
    <t>г. Апатиты, ул. Нечаева, д. 2</t>
  </si>
  <si>
    <t>г. Апатиты, ул. Нечаева, д. 3</t>
  </si>
  <si>
    <t>г. Апатиты, ул. Ферсмана, д. 6</t>
  </si>
  <si>
    <t>г. Апатиты, ул. Фестивальная, д. 13</t>
  </si>
  <si>
    <t>г. Апатиты, ул. Фестивальная, д. 16</t>
  </si>
  <si>
    <t>г. Апатиты, ул. Космонавтов, д. 7</t>
  </si>
  <si>
    <t>г. Апатиты, ул. Ленина, д. 14</t>
  </si>
  <si>
    <t>г. Апатиты, ул. Ферсмана, д. 20</t>
  </si>
  <si>
    <t>г. Апатиты, ул. Фестивальная, д. 7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</si>
  <si>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</si>
  <si>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</si>
  <si>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</si>
  <si>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</si>
  <si>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г. Ковдор, пл. Ленина, д. 8</t>
  </si>
  <si>
    <t>г. Ковдор, ул.Кошица, д.6, корп. 2</t>
  </si>
  <si>
    <t>н.п. Енский, ул. Строителей, д.3</t>
  </si>
  <si>
    <t>г. Мончегорск, пр. Металлургов, д. 7</t>
  </si>
  <si>
    <t>г. Мончегорск, пр. Металлургов, д. 23</t>
  </si>
  <si>
    <t>г. Мончегорск, пр. Металлургов, д. 24</t>
  </si>
  <si>
    <t>г. Мончегорск, пр. Металлургов, д. 31</t>
  </si>
  <si>
    <t>г. Мончегорск, ул. Ферсмана, д. 13</t>
  </si>
  <si>
    <t>г. Мурманск, ул. Адмирала флота Лобова, д. 34</t>
  </si>
  <si>
    <t>г. Мурманск, ул. Адмирала флота Лобова, д. 39/13</t>
  </si>
  <si>
    <t>г. Мурманск, ул. Володарского, д. 7</t>
  </si>
  <si>
    <t xml:space="preserve">г. Мурманск, пр. Ленина, д. 81 </t>
  </si>
  <si>
    <t xml:space="preserve">г. Мурманск, пр. Ленина, д. 83 </t>
  </si>
  <si>
    <t xml:space="preserve">г. Мурманск, пр. Ленина, д. 85 </t>
  </si>
  <si>
    <t>г. Мурманск, пр. Ленина, д. 92</t>
  </si>
  <si>
    <t>г. Мурманск, пр. Ленина, д. 94</t>
  </si>
  <si>
    <t>г. Мурманск, пр. Ленина, д. 95</t>
  </si>
  <si>
    <t>г. Мурманск, ул. Октябрьская, д. 1</t>
  </si>
  <si>
    <t>г. Мурманск, ул. Сафонова, д. 32/19</t>
  </si>
  <si>
    <t>г. Мурманск, пер. Терский, д. 3</t>
  </si>
  <si>
    <t>г. Мурманск, пер. Терский, д. 9</t>
  </si>
  <si>
    <t>г. Мурманск, ул. Челюскинцев, д. 7</t>
  </si>
  <si>
    <t>г. Мурманск, ул. Челюскинцев, д. 20</t>
  </si>
  <si>
    <t>г. Оленегорск, ул. Бардина, д. 50</t>
  </si>
  <si>
    <t>г. Оленегорск, ул. Бардина, д. 54</t>
  </si>
  <si>
    <t>г. Оленегорск, ул. Мира, д. 33</t>
  </si>
  <si>
    <t>г. Оленегорск, ул. Парковая, д. 4</t>
  </si>
  <si>
    <t>г. Оленегорск, ул. Парковая, д. 8</t>
  </si>
  <si>
    <t>г. Оленегорск, ул. Парковая, д. 10</t>
  </si>
  <si>
    <t>г. Полярные Зори, ул. Ломоносова, д. 4</t>
  </si>
  <si>
    <t>пгт. Никель, пр-кт Гвардейский, д. 25</t>
  </si>
  <si>
    <t>г. Заполярный, ул. Бабикова, д. 4</t>
  </si>
  <si>
    <t>г. Гаджиево, ул. Колышкина, д. 69</t>
  </si>
  <si>
    <t>г. Полярный, ул. Гагарина, д. 5</t>
  </si>
  <si>
    <t>г. Полярный, ул. Гагарина, д. 4</t>
  </si>
  <si>
    <t>г. Полярный, ул. Душенова д. 7</t>
  </si>
  <si>
    <t xml:space="preserve">г. Полярный, ул. Советская, д. 1     </t>
  </si>
  <si>
    <t xml:space="preserve">г. Полярный, ул. Душенова д.9   </t>
  </si>
  <si>
    <t>г. Снежногорск, у. Октябрьская, д. 7</t>
  </si>
  <si>
    <t>г. Островной, ул. Соловья, д. 2</t>
  </si>
  <si>
    <t>г. Североморск, ул. Советская, д. 20А</t>
  </si>
  <si>
    <t>г. Североморск, ул. Пионерская, д. 11</t>
  </si>
  <si>
    <t>г. Североморск, ул. Сафонова, д. 2</t>
  </si>
  <si>
    <t>г. Североморск, ул. Сафонова, д. 3</t>
  </si>
  <si>
    <t>г. Североморск, ул. Сафонова, д. 13</t>
  </si>
  <si>
    <t>г. Североморск, ул. Сафонова, д. 14</t>
  </si>
  <si>
    <t>г. Североморск, ул. Авиаторов, д. 1</t>
  </si>
  <si>
    <t>г. Североморск, ул. Авиаторов, д. 9</t>
  </si>
  <si>
    <t>г. Кандалакша, ул. Спекова, д. 16</t>
  </si>
  <si>
    <t>г. Кандалакша, ул. Спекова, д. 18</t>
  </si>
  <si>
    <t>г. Кандалакша, ул. Советская, д. 2</t>
  </si>
  <si>
    <t>г. Кандалакша, ул. Спекова, д. 4</t>
  </si>
  <si>
    <t>г. Кандалакша, ул. Спекова, д. 24</t>
  </si>
  <si>
    <t>пгт Кильдинстрой, ул. Советская, д.12</t>
  </si>
  <si>
    <t>г. Кола, пр. Миронова, д. 9</t>
  </si>
  <si>
    <t>г. Кола, ул. Андрусенко, д. 11</t>
  </si>
  <si>
    <t>г. Кола, пр. Советский, д. 49</t>
  </si>
  <si>
    <t>г. Кола, пр. Советский, д. 16</t>
  </si>
  <si>
    <t>пгт. Мурмаши, ул. Советская, д. 21</t>
  </si>
  <si>
    <t>пгт. Мурмаши, ул. Цесарского, д. 1</t>
  </si>
  <si>
    <t>пгт. Мурмаши, ул. Цесарского, д. 4</t>
  </si>
  <si>
    <t>пгт. Мурмаши, ул. Кирова, д. 6</t>
  </si>
  <si>
    <t>с. Ловозеро, ул. Советская, д. 25</t>
  </si>
  <si>
    <t>пгт. Ревда, ул. Кузина, д.11 корпус 1</t>
  </si>
  <si>
    <t>пгт. Умба, ул. Советская, д. 7</t>
  </si>
  <si>
    <t>Итого по  Мурманской области  на 2024 год:</t>
  </si>
  <si>
    <t>Итого по  Мурманской области  на 2025 год:</t>
  </si>
  <si>
    <t>Итого по Муниципальному образованию на 2025 год:</t>
  </si>
  <si>
    <t>г. Апатиты, ул. Ленина, д. 25</t>
  </si>
  <si>
    <t>г. Апатиты, ул. Московская, д. 5</t>
  </si>
  <si>
    <t>г. Апатиты, ул. Победы, д. 9</t>
  </si>
  <si>
    <t>г. Апатиты, ул. Северная, д. 15</t>
  </si>
  <si>
    <t>г. Кировск, пр. Ленина, д. 19</t>
  </si>
  <si>
    <t>г. Кировск, пр. Ленина, д. 23а</t>
  </si>
  <si>
    <t>г. Кировск, ул. Кирова, д. 17</t>
  </si>
  <si>
    <t>г. Кировск, пр. Ленина, д.5</t>
  </si>
  <si>
    <t>г. Ковдор, ул. Ленина, д.22, корп.1</t>
  </si>
  <si>
    <t>г. Ковдор, пл. Ленина, д.3</t>
  </si>
  <si>
    <t>г. Ковдор, ул.Победы, д.8</t>
  </si>
  <si>
    <t>г. Мончегорск, пр. Металлургов, д. 33</t>
  </si>
  <si>
    <t>г. Мончегорск, пр. Металлургов, д. 35</t>
  </si>
  <si>
    <t>г. Мончегорск, пр. Ленина, д. 6</t>
  </si>
  <si>
    <t>г. Мурманск, ул. Адмирала флота Лобова, д. 37</t>
  </si>
  <si>
    <t>г. Мурманск, ул. Адмирала флота Лобова, д. 49/17</t>
  </si>
  <si>
    <t>г. Мурманск, ул. Володарского, д. 10</t>
  </si>
  <si>
    <t>г. Мурманск, ул. Володарского, д. 12</t>
  </si>
  <si>
    <t>г. Мурманск, ул. Дзержинского, д. 2/33</t>
  </si>
  <si>
    <t>г. Мурманск, пр. Ленина, д. 68</t>
  </si>
  <si>
    <t>г. Мурманск, пр. Ленина, д. 100</t>
  </si>
  <si>
    <t>г. Мурманск, ул.Нахимова, д. 11</t>
  </si>
  <si>
    <t>г. Мурманск, ул.Нахимова, д. 25</t>
  </si>
  <si>
    <t>г. Мурманск, ул.Нахимова, д. 31</t>
  </si>
  <si>
    <t>г. Мурманск, ул. Октябрьская, д. 9</t>
  </si>
  <si>
    <t>г. Мурманск, ул. Октябрьская, д. 21</t>
  </si>
  <si>
    <t>г. Мурманск, ул. Октябрьская, д. 23</t>
  </si>
  <si>
    <t>г. Мурманск, ул. Октябрьская, д. 24</t>
  </si>
  <si>
    <t>г. Мурманск, ул. Полярные Зори, д. 33 корп.1</t>
  </si>
  <si>
    <t>г. Мурманск, ул. Профсоюзов, д. 24</t>
  </si>
  <si>
    <t>г. Мурманск, ул. Радищева, д. 12</t>
  </si>
  <si>
    <t>г. Мурманск, ул. Радищева, д. 14</t>
  </si>
  <si>
    <t xml:space="preserve">г. Мурманск, ул. Радищева, д. 16 </t>
  </si>
  <si>
    <t xml:space="preserve">г. Мурманск, ул. Радищева, д. 18 </t>
  </si>
  <si>
    <t>г. Мурманск, ул. Сафонова, д. 19</t>
  </si>
  <si>
    <t>г. Мурманск, ул. Сафонова, д. 20, корп. 2</t>
  </si>
  <si>
    <t>г. Мурманск, ул. Сафонова, д. 21</t>
  </si>
  <si>
    <t>г. Мурманск, ул. Сафонова, д. 24/26</t>
  </si>
  <si>
    <t>г. Мурманск, ул. Шмидта, д. 11</t>
  </si>
  <si>
    <t>г. Оленегорск, ул. Бардина, д. 41</t>
  </si>
  <si>
    <t>г. Оленегорск, ул. Бардина, д. 48</t>
  </si>
  <si>
    <t>г.Полярные Зори, ул. Ломоносова, д. 6</t>
  </si>
  <si>
    <t>г.Полярные Зори, пр. Нивский, д. 9</t>
  </si>
  <si>
    <t>г.Полярные Зори, ул. Белова, д. 5</t>
  </si>
  <si>
    <t>пгт. Никель, ул. Спортивная, д. 10</t>
  </si>
  <si>
    <t>г. Заполярный, ул. Ленина, д. 9</t>
  </si>
  <si>
    <t>г. Заполярный, ул. Бабикова, д. 6</t>
  </si>
  <si>
    <t>пгт. Никель, пр-кт Гвардейский, д. 23</t>
  </si>
  <si>
    <t>пгт. Никель, пр-кт Гвардейский, д. 4</t>
  </si>
  <si>
    <t>г. Гаджиево, ул. Душенова, д. 104</t>
  </si>
  <si>
    <t>г. Полярный, ул. Видяева, д. 3</t>
  </si>
  <si>
    <t>г. Полярный, ул. Героев Тумана, д. 8</t>
  </si>
  <si>
    <t>г. Полярный, ул. Видяева, д. 12</t>
  </si>
  <si>
    <t>г. Полярный, ул. Красный Горн, д. 25</t>
  </si>
  <si>
    <t xml:space="preserve">г. Полярный, ул. Героев Тумана, д. 2    </t>
  </si>
  <si>
    <t>г. Снежногорск, ул. П. Стеблина, д. 14</t>
  </si>
  <si>
    <t>г. Заозерск, ул. Генерала Чумаченко, д. 3</t>
  </si>
  <si>
    <t>г. Североморск, ул. Кирова, д. 4</t>
  </si>
  <si>
    <t>г. Североморск, ул. Сафонова, д. 4</t>
  </si>
  <si>
    <t>г. Североморск, ул. Сафонова, д. 5</t>
  </si>
  <si>
    <t>г. Североморск, ул. Душенова, д. 10</t>
  </si>
  <si>
    <t>п. Видяево, ул. Центральная, д. 1</t>
  </si>
  <si>
    <t>п. Видяево, ул. Центральная, д. 6</t>
  </si>
  <si>
    <t>г. Кандалакша, ул. Спекова, д. 28</t>
  </si>
  <si>
    <t>г. Кандалакша, ул. Кировская, д. 30</t>
  </si>
  <si>
    <t>г. Кандалакша, ул. Первомайская, д. 3</t>
  </si>
  <si>
    <t>г. Кандалакша, ул. Спекова, д. 20</t>
  </si>
  <si>
    <t>г. Кола, пр. Советский, д. 39</t>
  </si>
  <si>
    <t>г. Кола, пр. Советский, д. 40</t>
  </si>
  <si>
    <t>пгт. Мурмаши, ул. Позднякова, д. 3</t>
  </si>
  <si>
    <t>пгт. Ревда, ул. Кузина д.7 корпус 2</t>
  </si>
  <si>
    <t>пгт. Ревда, ул. Кузина д.7 корпус 4</t>
  </si>
  <si>
    <t>пгт. Ревда, ул. Победы, д.31</t>
  </si>
  <si>
    <t>пгт. Умба, ул. Дзержинского, д. 68</t>
  </si>
  <si>
    <t>г. Мурманск, пр. Ленина, д. 70</t>
  </si>
  <si>
    <t>2022²</t>
  </si>
  <si>
    <t>2022¹</t>
  </si>
  <si>
    <t>2022³</t>
  </si>
  <si>
    <t>г. Североморск, ул. Сафонова, д. 10</t>
  </si>
  <si>
    <t>г. Мурманск, ул. Свердлова, д. 10 корп. 3</t>
  </si>
  <si>
    <t>г. Мурманск, ул. Карла Маркса, д. 4</t>
  </si>
  <si>
    <t>г. Мурманск, ул. Шмидта, д. 17</t>
  </si>
  <si>
    <t>г. Кировск, ул. Хибиногорская, д. 30</t>
  </si>
  <si>
    <r>
      <t>2022</t>
    </r>
    <r>
      <rPr>
        <vertAlign val="superscript"/>
        <sz val="8"/>
        <color theme="1"/>
        <rFont val="Times New Roman"/>
        <family val="1"/>
        <charset val="204"/>
      </rPr>
      <t>5</t>
    </r>
  </si>
  <si>
    <t>г. Мурманск, ул. Юрия Гагарина, д. 13</t>
  </si>
  <si>
    <t>г. Мурманск, ул. Адмирала флота Лобова, д. 9</t>
  </si>
  <si>
    <t>г. Мурманск, пр. Кольский, д. 101</t>
  </si>
  <si>
    <t>г. Североморск, ул. Морская, д. 10</t>
  </si>
  <si>
    <t>Муниципальное образование муниципальный округ город Апатиты с подведомственной территорией Мурманской области (ОКТМО 47519000)</t>
  </si>
  <si>
    <t>Муниципальное образование муниципальный округ город Кировск с подведомственной территорией Мурманской области (ОКТМО 47522000)</t>
  </si>
  <si>
    <t>Муниципальное образование Ковдорский муниципальный округ Мурманской области (ОКТМО 47517000)</t>
  </si>
  <si>
    <t>Муниципальное образование муниципальный округ город Мончегорск с подведомственной территорией Мурманской области (ОКТМО 47524000)</t>
  </si>
  <si>
    <t xml:space="preserve">Муниципальное образование городской округ город-герой Мурманск (ОКТМО 47 701 000)
</t>
  </si>
  <si>
    <t>Муниципальное образование муниципальный округ город Апатиты с подведомственной территорией Мурманской области (ОКТМО 47 519 000)</t>
  </si>
  <si>
    <t>Муниципальное образование Ковдорский муниципальный округ Мурманской области (ОКТМО 47 517 000)</t>
  </si>
  <si>
    <t>Муниципальное образование муниципальный округ город Мончегорск с подведомственной территорией Мурманской области (ОКТМО 47 524 000)</t>
  </si>
  <si>
    <t>Муниципальное образование муниципальный округ город Кировск с подведомственной территорией Мурманской области (ОКТМО 47 522 000)</t>
  </si>
  <si>
    <t>Муниципальное образование муниципальный округ город Оленегорск с подведомственной территорией Мурманской области  (ОКТМО 47 526 000)</t>
  </si>
  <si>
    <t xml:space="preserve">Муниципальное образование муниципальный округ город Полярные Зори с подведомственной территорией Мурманской области (ОКТМО 47 528 000)
</t>
  </si>
  <si>
    <t>Муниципальное образование муниципальный округ город Полярные Зори с подведомственной территорией Мурманской области (ОКТМО 47 528 000)</t>
  </si>
  <si>
    <t xml:space="preserve">Муниципальное образование Печенгский муниципальный округ Мурманской области (ОКТМО 47 515 000)
</t>
  </si>
  <si>
    <t>Муниципальное образование Печенгский муниципальный округ Мурманской области (ОКТМО 47 515 000)</t>
  </si>
  <si>
    <t xml:space="preserve">Муниципальное образование городской округ закрытое административно-территориальное образование Александровск Мурманской области (ОКТМО 47 737 000)
</t>
  </si>
  <si>
    <t>Муниципальное образование городской округ закрытое административно-территориальное образование Александровск Мурманской области (ОКТМО 47 737 000)</t>
  </si>
  <si>
    <t xml:space="preserve">Муниципальное образование городской округ закрытое административно-территориальное образование город Заозерск Мурманской области (ОКТМО 47 733 000)
</t>
  </si>
  <si>
    <t>Муниципальное образование городской округ закрытое административно-территориальное образование город Заозерск Мурманской области (ОКТМО 47 733 000)</t>
  </si>
  <si>
    <t xml:space="preserve">Муниципальное образование городской округ закрытое административно-территориальное образование город Островной Мурманской области (ОКТМО 47 731 000)
</t>
  </si>
  <si>
    <t>Муниципальное образование городской округ закрытое административно-территориальное образование город Островной Мурманской области (ОКТМО 47 731 000)</t>
  </si>
  <si>
    <t xml:space="preserve">Муниципальное образование городской округ закрытое административно-территориальное образование город Североморск Мурманской области (ОКТМО 47 730 000)
</t>
  </si>
  <si>
    <t>Муниципальное образование городской округ закрытое административно-территориальное образование город Североморск Мурманской области (ОКТМО 47 730 000)</t>
  </si>
  <si>
    <t xml:space="preserve">Муниципальное образование городской округ закрытое административно-территориальное образование поселок Видяево Мурманской области (ОКТМО 47 735 000)
</t>
  </si>
  <si>
    <t>Муниципальное образование городской округ закрытое административно-территориальное образование поселок Видяево Мурманской области (ОКТМО 47 735 000)</t>
  </si>
  <si>
    <t>пгт. Умба, ул. Горная, д. 58</t>
  </si>
  <si>
    <t>пгт. Умба, ул. Беломорская, д. 11</t>
  </si>
  <si>
    <t>пгт. Умба, ул. Горная, д. 52</t>
  </si>
  <si>
    <t>г. Мурманск, пр. Ленина, д. 17</t>
  </si>
  <si>
    <t>г. Мурманск, ул. Полярные Зори, д. 38</t>
  </si>
  <si>
    <t>г. Мурманск, ул. Полярные Зори, д. 43 корп. 1</t>
  </si>
  <si>
    <t>г. Мурманск, пер. Охотничий, д. 25</t>
  </si>
  <si>
    <t>г. Мурманск, пр. Профессора Жуковского, д. 4</t>
  </si>
  <si>
    <t>п. Видяево, ул. Центральная д. 3</t>
  </si>
  <si>
    <t>пгт Молочный, ул. Гальченко, д.13</t>
  </si>
  <si>
    <t>г. Заозерск, ул. Строительная, д. 20</t>
  </si>
  <si>
    <t>г. Заозерск, ул. Флотская, д. 14</t>
  </si>
  <si>
    <t>г. Мончегорск, пр. Ленина д. 6</t>
  </si>
  <si>
    <t>пгт. Умба, ул. Беломорская, д. 7</t>
  </si>
  <si>
    <t>пгт. Умба, ул. Зеленая, д. 31</t>
  </si>
  <si>
    <t>пгт. Умба, ул. Набережная, 21а</t>
  </si>
  <si>
    <t>пгт. Умба, ул. Приморская, д 44</t>
  </si>
  <si>
    <t>нп. Спутник, ул. Новая, д. 16</t>
  </si>
  <si>
    <t>нп. Спутник, ул. Новая, д. 17</t>
  </si>
  <si>
    <t>нп. Спутник, ул. Новая, д. 18</t>
  </si>
  <si>
    <t>нп. Спутник, ул. Новая, д. 19</t>
  </si>
  <si>
    <t>нп. Спутник, ул. Новая, д. 20</t>
  </si>
  <si>
    <t>г. Полярный, ул. Фисановича, д. 9</t>
  </si>
  <si>
    <t>г. Полярный, ул. Сивко, д. 1</t>
  </si>
  <si>
    <t>г. Полярный, ул. Гагарина, д. 7</t>
  </si>
  <si>
    <t>г. Полярный, ул. Лунина, д. 7</t>
  </si>
  <si>
    <t>г. Полярный, ул. Моисеева, д. 4</t>
  </si>
  <si>
    <t>г. Полярный, ул. Душенова, д. 9</t>
  </si>
  <si>
    <t>с. Тулома, ул. Сафонова, д. 3</t>
  </si>
  <si>
    <t>с. Тулома, ул.Мира, д. 10</t>
  </si>
  <si>
    <t>г. Североморск, ул. Сафонова, д. 1а</t>
  </si>
  <si>
    <t>г. Североморск, ул. Сизова, д. 19</t>
  </si>
  <si>
    <t>г. Мурманск, ул. Адмирала флота Лобова, д. 11 корп. 2</t>
  </si>
  <si>
    <t>г. Мурманск, ул. Адмирала флота Лобова, д. 11 корп. 3</t>
  </si>
  <si>
    <t>г. Мурманск, ул. Адмирала флота Лобова, д. 11 корп. 5</t>
  </si>
  <si>
    <t>г. Мурманск, ул. Беринга, д. 5</t>
  </si>
  <si>
    <t>г. Мурманск, ул. Беринга, д. 7</t>
  </si>
  <si>
    <t>г. Мурманск, ул. Беринга, д. 11</t>
  </si>
  <si>
    <t>г. Мурманск, ул. Беринга, д. 13</t>
  </si>
  <si>
    <t>г. Мурманск, ул. Беринга, д. 15</t>
  </si>
  <si>
    <t>г. Мурманск, ул. Беринга, д. 17</t>
  </si>
  <si>
    <t>г. Мурманск, ул. Гвардейская, д. 22</t>
  </si>
  <si>
    <t>г. Мурманск, ул. Гвардейская, д. 24</t>
  </si>
  <si>
    <t>г. Мурманск,  ул. Ивана Сивко, д. 9</t>
  </si>
  <si>
    <t>г. Мурманск, ул. Колхозная, д. 12</t>
  </si>
  <si>
    <t>г. Мурманск, пр. Кольский, д. 20</t>
  </si>
  <si>
    <t xml:space="preserve"> г. Мурманск, пр. Кольский, д. 38</t>
  </si>
  <si>
    <t xml:space="preserve"> г. Мурманск, пр. Кольский, д. 46</t>
  </si>
  <si>
    <t xml:space="preserve"> г. Мурманск, пр. Кольский, д. 91 корп. 1</t>
  </si>
  <si>
    <t xml:space="preserve"> г. Мурманск, пр. Кольский, д. 91 корп. 3</t>
  </si>
  <si>
    <t xml:space="preserve"> г. Мурманск, пр. Кольский, д. 95</t>
  </si>
  <si>
    <t xml:space="preserve"> г. Мурманск, пр. Кольский, д. 97 корп. 1</t>
  </si>
  <si>
    <t xml:space="preserve"> г. Мурманск, пр. Кольский, д. 97 корп. 2</t>
  </si>
  <si>
    <t xml:space="preserve"> г. Мурманск, пр. Кольский, д. 97 корп. 4</t>
  </si>
  <si>
    <t xml:space="preserve"> г. Мурманск, пр. Кольский, д. 152</t>
  </si>
  <si>
    <t xml:space="preserve"> г. Мурманск, пр. Кольский, д. 155</t>
  </si>
  <si>
    <t xml:space="preserve"> г. Мурманск, пр. Кольский, д. 170</t>
  </si>
  <si>
    <t xml:space="preserve"> г. Мурманск, пр. Кольский, д. 172</t>
  </si>
  <si>
    <t xml:space="preserve"> г. Мурманск, пр. Кольский, д. 198</t>
  </si>
  <si>
    <t>г. Мурманск, пр-д Ледокольный, д. 1</t>
  </si>
  <si>
    <t>г. Мурманск, пр-д Ледокольный, д. 15</t>
  </si>
  <si>
    <t>г. Мурманск, пр-д Ледокольный, д. 17</t>
  </si>
  <si>
    <t>г. Мурманск, пр-д Ледокольный, д. 19</t>
  </si>
  <si>
    <t>г. Мурманск, пр-д Ледокольный, д. 25</t>
  </si>
  <si>
    <t>г. Мурманск, пр-д Ледокольный, д. 27</t>
  </si>
  <si>
    <t>г. Мурманск, пр-д Ледокольный, д. 29</t>
  </si>
  <si>
    <t>г. Мурманск, пр-д Ледокольный, д. 31</t>
  </si>
  <si>
    <t>г. Мурманск, ул. Полярные Зори, д. 17 корп. 4</t>
  </si>
  <si>
    <t>г. Мурманск, ул. Полярные Зори, д. 49 корп. 4</t>
  </si>
  <si>
    <t>г. Мурманск, ул. Сафонова, д. 39</t>
  </si>
  <si>
    <t>г. Мурманск, ул. Свердлова, д. 70</t>
  </si>
  <si>
    <t>г. Мурманск, ул. Свердлова, д. 74</t>
  </si>
  <si>
    <t>г. Мурманск, пр-д Связи, д. 26</t>
  </si>
  <si>
    <t>г. Мурманск, пер. Якорный, д. 1</t>
  </si>
  <si>
    <t>г. Мурманск, пер. Якорный, д. 2</t>
  </si>
  <si>
    <t>г. Кандалакша, ул. Кировская, д. 23</t>
  </si>
  <si>
    <t>г. Кандалакша, ул. Наймушина, д. 1</t>
  </si>
  <si>
    <t>г. Мурманск, пр. Кольский, д. 103</t>
  </si>
  <si>
    <t>г. Мурманск, ул. Октябрьская, д. 28</t>
  </si>
  <si>
    <t>2023</t>
  </si>
  <si>
    <t>пгт. Умба, ул. Беломорская, д. 33</t>
  </si>
  <si>
    <t>г. Мурманск, ул. Самойловой, д. 8</t>
  </si>
  <si>
    <t>пгт. Умба, ул. Советская, д. 2</t>
  </si>
  <si>
    <t>г. Мончегорск, ул. Стахановская, д. 11</t>
  </si>
  <si>
    <t>п. Видяево, ул. Центральная д. 7</t>
  </si>
  <si>
    <t>пгт Печенга, ул. Стадионная, д. 7</t>
  </si>
  <si>
    <t>г. Мончегорск, пр. Металлургов, д. 5</t>
  </si>
  <si>
    <t xml:space="preserve">г. Мончегорск, пр. Металлургов, д. 3 </t>
  </si>
  <si>
    <t>г. Кировск, пр. Ленина, д. 7</t>
  </si>
  <si>
    <t>г. Кировск, пр. Ленина, д. 9</t>
  </si>
  <si>
    <t>с. Алакуртти, ул. Кузнецова, д. 18</t>
  </si>
  <si>
    <t>пгт. Ревда, ул. Комсомольская, д. 34</t>
  </si>
  <si>
    <t>2023²</t>
  </si>
  <si>
    <t xml:space="preserve"> индивидуальный(-ые) тепловой(-ые)  пункт(-ы)</t>
  </si>
  <si>
    <t>водоподогреватель (-и)</t>
  </si>
  <si>
    <t>г. Мурманск, пр. Кольский, д. 162</t>
  </si>
  <si>
    <t>г. Мурманск, ул. Воровского, д. 15</t>
  </si>
  <si>
    <t>г. Мурманск, ул. Воровского, д. 17</t>
  </si>
  <si>
    <t>г. Мурманск, ул. Карла Маркса, д. 9</t>
  </si>
  <si>
    <t>г. Мурманск, пр. Ленина, д. 102</t>
  </si>
  <si>
    <t>г. Мурманск, ул. Челюскинцев, д. 30а</t>
  </si>
  <si>
    <t>г. Мурманск, ул. Карла Маркса, д. 7а</t>
  </si>
  <si>
    <t>г. Мурманск, ул. Ленинградская, д. 24</t>
  </si>
  <si>
    <t>г. Мурманск, ул. Профсоюзов, д. 22</t>
  </si>
  <si>
    <t>г. Мурманск, ул. Воровского, д. 4/22</t>
  </si>
  <si>
    <t>г. Мурманск, ул. Октябрьская, д. 18/13</t>
  </si>
  <si>
    <t>г. Мурманск, ул. Пушкинская, д. 14</t>
  </si>
  <si>
    <t>2024</t>
  </si>
  <si>
    <t>г. Мурманск, ул. Алексея Хлобыстова,               д. 28 к. 1</t>
  </si>
  <si>
    <t>г. Мурманск, ул. Алексея Хлобыстова,                 д. 29</t>
  </si>
  <si>
    <t>г. Мурманск, ул. Алексея Хлобыстова,                 д. 30</t>
  </si>
  <si>
    <t>г. Мурманск, ул. Алексея Хлобыстова,                 д. 31</t>
  </si>
  <si>
    <t>г. Мурманск, ул. Алексея Хлобыстова,                 д. 33</t>
  </si>
  <si>
    <t>г. Мурманск, ул. Алексея Хлобыстова,                 д. 35</t>
  </si>
  <si>
    <t>г. Мурманск, ул. И.А. Гончарова, д. 5</t>
  </si>
  <si>
    <t>г. Мурманск, ул. И.А. Гончарова, д. 7</t>
  </si>
  <si>
    <t>г. Мурманск, ул. И.А. Гончарова, д. 9</t>
  </si>
  <si>
    <t>г. Мурманск, ул. И.А. Гончарова, д. 11</t>
  </si>
  <si>
    <t>г. Мурманск, ул. И.А. Гончарова, д. 13</t>
  </si>
  <si>
    <t>г. Мурманск, ул. И.А. Гончарова, д. 15</t>
  </si>
  <si>
    <t>г. Мурманск, ул. Сафонова, д. 5</t>
  </si>
  <si>
    <t>г. Мурманск, ул. Сафонова, д. 7</t>
  </si>
  <si>
    <t>г. Мурманск, ул. Сафонова, д. 9</t>
  </si>
  <si>
    <t>г. Мурманск, ул. Сафонова, д. 10</t>
  </si>
  <si>
    <t>г. Мурманск, ул. Сафонова, д. 12</t>
  </si>
  <si>
    <t>г. Мурманск, ул. Свердлова, д. 12 корп. 1</t>
  </si>
  <si>
    <t>г. Мурманск, ул. Свердлова, д. 16/9</t>
  </si>
  <si>
    <t>г. Мурманск, ул. Свердлова, д. 46а</t>
  </si>
  <si>
    <t>г. Мурманск, ул. Успенского, д. 11</t>
  </si>
  <si>
    <t>г. Мурманск, ул. Ушакова, д. 7 к. 2</t>
  </si>
  <si>
    <t>г. Мурманск, ул. Ушакова, д. 11</t>
  </si>
  <si>
    <t>г. Мурманск, ул. Юрия Гагарина, д. 19</t>
  </si>
  <si>
    <t>г. Кировск, ул. Хибиногорская, д. 29</t>
  </si>
  <si>
    <t>г. Кировск, пр. Ленина, д. 7а</t>
  </si>
  <si>
    <t>г. Кировск, пр. Ленина, д. 7б</t>
  </si>
  <si>
    <t>г. Кировск, ул. Кирова, д. 31</t>
  </si>
  <si>
    <t>г. Мурманск, ул. Академика Павлова, д. 9</t>
  </si>
  <si>
    <t>г. Мурманск, ул. Капитана Орликовой,           д. 10</t>
  </si>
  <si>
    <t>г. Мурманск, ул. Софьи Перовской,                д. 31/11</t>
  </si>
  <si>
    <t>г. Мурманск, ул. Алексея Генералова,             д. 2/18</t>
  </si>
  <si>
    <t>г. Мурманск, ул. Шмидта, д. 31/1</t>
  </si>
  <si>
    <t>г. Мурманск, ул. Профсоюзов, д. 17/12</t>
  </si>
  <si>
    <t>г. Мурманск, ул. Инженерная, д. 2</t>
  </si>
  <si>
    <t>г. Мурманск, ул. Инженерная, д. 3</t>
  </si>
  <si>
    <t>г. Мурманск, ул. Инженерная, д. 5</t>
  </si>
  <si>
    <t>г. Апатиты, ул. Воинов-интернационалистов, д. 12</t>
  </si>
  <si>
    <t>г. Апатиты, ул. Победы, д. 17</t>
  </si>
  <si>
    <t>г. Апатиты, ул. Строителей, д. 21</t>
  </si>
  <si>
    <t>г. Апатиты, ул. Северная, д. 30</t>
  </si>
  <si>
    <t>г. Апатиты, ул. Московская, д. 2</t>
  </si>
  <si>
    <t>г. Апатиты, ул. Ферсмана, д 16</t>
  </si>
  <si>
    <t>г. Апатиты, ул. Ферсмана, д 18</t>
  </si>
  <si>
    <t>г. Апатиты, пер. Московский, д. 1</t>
  </si>
  <si>
    <t>г. Апатиты, пер. Московский, д. 2</t>
  </si>
  <si>
    <t>г. Мончегорск, ул. Школьная, д. 5</t>
  </si>
  <si>
    <t>г. Мончегорск, пр. Ленина, д. 4/40</t>
  </si>
  <si>
    <t>г. Мончегорск, ул. Железнодорожная,              д. 7/19</t>
  </si>
  <si>
    <t>г. Мончегорск, пр. Металлургов, д. 14</t>
  </si>
  <si>
    <t>г. Мончегорск, пр. Металлургов, д. 12</t>
  </si>
  <si>
    <t>г. Кировск, ул. Советская, д. 4</t>
  </si>
  <si>
    <t>г. Кировск, ул. Советская, д. 6</t>
  </si>
  <si>
    <t>г. Кировск, ул. Юбилейная, д. 3</t>
  </si>
  <si>
    <t>г. Кировск, ул. Мира, д. 3</t>
  </si>
  <si>
    <t>г. Ковдор, ул. Кирова, д. 10</t>
  </si>
  <si>
    <t>г. Ковдор, ул. Коновалова, д. 14</t>
  </si>
  <si>
    <t>г. Ковдор, ул. Кирова, д. 4</t>
  </si>
  <si>
    <t>г. Мончегорск, ул. Советская, д. 13</t>
  </si>
  <si>
    <t>г. Оленегорск, ул. Советская, д. 3</t>
  </si>
  <si>
    <t>г. Оленегорск, ул. Советская, д. 5</t>
  </si>
  <si>
    <t>г. Оленегорск, ул. Советская, д. 8</t>
  </si>
  <si>
    <t>г. Оленегорск, ул. Ферсмана, д. 3</t>
  </si>
  <si>
    <t>г. Оленегорск, ул. Ферсмана, д. 7</t>
  </si>
  <si>
    <t>г. Оленегорск, ул. Ферсмана, д. 13</t>
  </si>
  <si>
    <t>г. Оленегорск, ул. Ферсмана, д. 17</t>
  </si>
  <si>
    <t>г. Гаджиево, ул. Душенова, д. 90</t>
  </si>
  <si>
    <t>г. Полярные Зори, ул. Строителей, д. 2</t>
  </si>
  <si>
    <t>г. Полярные Зори, ул. Партизан Заполярья, д. 9</t>
  </si>
  <si>
    <t>п. Видяево, ул. Центральная д. 1</t>
  </si>
  <si>
    <t>п. Видяево, ул. Заречная, д. 7</t>
  </si>
  <si>
    <t>п. Видяево, ул. Заречная, д. 8</t>
  </si>
  <si>
    <t>п. Видяево, ул. Заречная, д. 14</t>
  </si>
  <si>
    <t>п. Видяево, ул. Заречная, д. 18</t>
  </si>
  <si>
    <t>п. Видяево, ул. Заречная, д. 19</t>
  </si>
  <si>
    <t>п. Видяево, ул. Заречная, д. 34</t>
  </si>
  <si>
    <t>п. Видяево, ул. Заречная, д. 36</t>
  </si>
  <si>
    <t>п. Видяево, ул. Заречная, д. 41</t>
  </si>
  <si>
    <t>п. Видяево, ул. Заречная, д. 44</t>
  </si>
  <si>
    <t>п. Видяево, ул. Заречная, д. 52</t>
  </si>
  <si>
    <t>п. Видяево, ул. Заречная, д. 56</t>
  </si>
  <si>
    <t>п. Видяево, ул. Заречная, д. 58</t>
  </si>
  <si>
    <t>г. Заозерск, ул. Колышкина, д. 11</t>
  </si>
  <si>
    <t>г. Заозерск, ул. Колышкина, д. 3</t>
  </si>
  <si>
    <t>г. Заозерск, ул. Колышкина, д. 6</t>
  </si>
  <si>
    <t>г. Заозерск, ул. Колышкина, д. 8</t>
  </si>
  <si>
    <t>г. Заозерск, ул. Колышкина, д. 12</t>
  </si>
  <si>
    <t>г. Заозерск, ул. Колышкина, д. 13</t>
  </si>
  <si>
    <t>г. Заозерск, ул. Мира, д. 15</t>
  </si>
  <si>
    <t>г. Заозерск, ул. Мира, д. 17</t>
  </si>
  <si>
    <t>г. Заозерск, пер. Гранитный, д. 8</t>
  </si>
  <si>
    <t>г. Кандалакша, ул. Наймушина, д. 22</t>
  </si>
  <si>
    <t>н.п. Белое Море, д. 1</t>
  </si>
  <si>
    <t>г. Североморск, ул. Вице-адмирала Падорина, д. 33</t>
  </si>
  <si>
    <t>г. Североморск, ул. Вице-адмирала Падорина, д. 13</t>
  </si>
  <si>
    <t>г. Североморск, ул. Генерала Фулика, д. 5</t>
  </si>
  <si>
    <t>г. Североморск, ул. Сафонова, д. 9</t>
  </si>
  <si>
    <t>г. Североморск, ул. Душенова, д. 11</t>
  </si>
  <si>
    <t>г. Заполярный, ул. Ленина, д. 12/1</t>
  </si>
  <si>
    <t>г. Заполярный, ул. Мира, д. 3</t>
  </si>
  <si>
    <t>г. Заполярный, ул. Мира, д. 4</t>
  </si>
  <si>
    <t>г. Заполярный, ул. Мира, д. 7</t>
  </si>
  <si>
    <t>пгт. Никель, ул. Мира, д. 24</t>
  </si>
  <si>
    <t>пгт. Никель, пр-кт Гвардейский, д. 19</t>
  </si>
  <si>
    <t>пгт. Никель, ул. Октябрьская, д. 6</t>
  </si>
  <si>
    <t>пгт. Никель, пр-кт Гвардейский, д. 17</t>
  </si>
  <si>
    <t>г. Североморск, ул. Кирова, д. 5</t>
  </si>
  <si>
    <t>г. Кола, пр. Миронова, д. 22а</t>
  </si>
  <si>
    <t>г. Кола, ул. Кривошеева, д. 10</t>
  </si>
  <si>
    <t>г. Кола, ул. Победы, д. 15</t>
  </si>
  <si>
    <t>с. Тулома, ул. Сафонова, д. 1</t>
  </si>
  <si>
    <t>с. Тулома, ул. Школьная, д. 6</t>
  </si>
  <si>
    <t>сп. Междуречье, д. 2</t>
  </si>
  <si>
    <t>пгт. Мурмаши, ул. Цесарского, д. 6</t>
  </si>
  <si>
    <t>г. Кола, ул. Кривошеева, д. 4</t>
  </si>
  <si>
    <t>г. Кола, пр. Миронова, д. 24</t>
  </si>
  <si>
    <t>г. Кола, ул. Кривошеева, д. 6</t>
  </si>
  <si>
    <t>г. Кола, пер. Островский, д. 5</t>
  </si>
  <si>
    <t>г. Мурманск, б-р Театральный, д. 8</t>
  </si>
  <si>
    <t>г. Мурманск, ул. Пищевиков, д. 7</t>
  </si>
  <si>
    <t>г. Мурманск, ул. Радищева, д. 19</t>
  </si>
  <si>
    <t>г. Мурманск, ул. Загородная, д. 7</t>
  </si>
  <si>
    <t>г. Мурманск, пр. Кирова, д. 28в</t>
  </si>
  <si>
    <t>г. Мурманск, пр. Кирова, д. 53</t>
  </si>
  <si>
    <t>г. Мурманск, пр. Кирова, д. 53а</t>
  </si>
  <si>
    <t>г. Мурманск, пр. Кольский, д. 6</t>
  </si>
  <si>
    <t>г. Мурманск, пер. Русанова, д. 4</t>
  </si>
  <si>
    <t>г. Мурманск, проезд Рыбный, д. 8</t>
  </si>
  <si>
    <t>г. Мурманск, пр-д Флотский, д. 1</t>
  </si>
  <si>
    <t>г. Мурманск, пр. Ленина, д. 29</t>
  </si>
  <si>
    <t>г. Мурманск, пр. Ленина, д. 13</t>
  </si>
  <si>
    <t>г. Мурманск, ул. Трудовых Резервов, д. 8</t>
  </si>
  <si>
    <t>г. Мурманск, ул. Лесная, д. 12</t>
  </si>
  <si>
    <t>г. Мурманск, ул. Октябрьская, д. 26</t>
  </si>
  <si>
    <t>г. Мурманск, ул. Баумана, д. 36</t>
  </si>
  <si>
    <t>г. Мурманск, ул. Крупской, д. 40а</t>
  </si>
  <si>
    <t>г. Мурманск, пр. Ленина, д. 20</t>
  </si>
  <si>
    <t>г. Мурманск, пер. Охотничий, д. 21</t>
  </si>
  <si>
    <t>г. Мурманск, пер. Охотничий, д. 23</t>
  </si>
  <si>
    <t>г. Мурманск, ул. Прибрежная, д. 25</t>
  </si>
  <si>
    <t>г. Мурманск, ул. Пушкинская, д. 12</t>
  </si>
  <si>
    <t>жилрайон Росляково, ул. Молодежная,           д. 10</t>
  </si>
  <si>
    <t>г. Мурманск, пр. Ленина, д. 23</t>
  </si>
  <si>
    <t>г. Мурманск, ул. Полухина, д. 12</t>
  </si>
  <si>
    <t>г. Мурманск, ул. Полухина, д. 14</t>
  </si>
  <si>
    <t>г. Мурманск, ул. Беринга, д. 14</t>
  </si>
  <si>
    <t>г. Мурманск, ул. Адмирала флота Лобова, д. 35</t>
  </si>
  <si>
    <t>г. Кола, пр. Миронова, д. 5</t>
  </si>
  <si>
    <t>г. Кола, пр. Советский, д. 48</t>
  </si>
  <si>
    <t>г. Мурманск, ул. Лесная, д. 8</t>
  </si>
  <si>
    <t>Ремонт или замена лифтового оборудования*</t>
  </si>
  <si>
    <t>Ремонт крыши**</t>
  </si>
  <si>
    <t>Ремонт фасада***</t>
  </si>
  <si>
    <t>Иные виды работ****</t>
  </si>
  <si>
    <t>г. Североморск, ул. Адмирала Сизова,             д. 18</t>
  </si>
  <si>
    <t>г. Североморск, ул. Вице-адмирала Падорина, д. 15</t>
  </si>
  <si>
    <t>г. Североморск, ул. Вице-адмирала Падорина, д. 25</t>
  </si>
  <si>
    <t>г. Североморск, ул. Вице-адмирала Падорина, д. 27</t>
  </si>
  <si>
    <t>г. Североморск, ул. Вице-адмирала Падорина, д. 29</t>
  </si>
  <si>
    <t>г. Североморск, ул. Вице-адмирала Падорина, д. 17</t>
  </si>
  <si>
    <t>г. Североморск, ул. Гаджиева д. 7</t>
  </si>
  <si>
    <t>г. Североморск, ул. Гаджиева д. 8</t>
  </si>
  <si>
    <t>г. Североморск, ул. Гаджиева д. 9</t>
  </si>
  <si>
    <t>г. Североморск, ул. Гаджиева д. 10</t>
  </si>
  <si>
    <t>г. Североморск, ул. Гаджиева д. 11</t>
  </si>
  <si>
    <t>г. Североморск, ул. Гаджиева д. 12</t>
  </si>
  <si>
    <t>г. Североморск, ул. Гаджиева д. 14</t>
  </si>
  <si>
    <t xml:space="preserve">г. Североморск, ул. Гвардейская, д. 32 </t>
  </si>
  <si>
    <t>г. Североморск, ул. Корабельная, д. 2</t>
  </si>
  <si>
    <t>г. Североморск, ул. Морская, д. 11</t>
  </si>
  <si>
    <t>г. Североморск, ул. Морская, д. 5</t>
  </si>
  <si>
    <t>г. Североморск, ул. Морская, д. 7</t>
  </si>
  <si>
    <t>г. Североморск, ул. Морская, д. 9</t>
  </si>
  <si>
    <t>г. Североморск, ул. Полярная, д. 2</t>
  </si>
  <si>
    <t>г. Североморск, ул. Полярная, д. 3</t>
  </si>
  <si>
    <t>г. Североморск, ул. Полярная, д. 4</t>
  </si>
  <si>
    <t>г. Североморск, ул. Северная, д. 22</t>
  </si>
  <si>
    <t>г. Североморск, ул. Северная, д. 24</t>
  </si>
  <si>
    <t>г. Североморск, ул. Северная, д. 26</t>
  </si>
  <si>
    <t>г. Североморск, ул. Северная, д. 26 А</t>
  </si>
  <si>
    <t>г. Североморск, ул. Северная, д. 27</t>
  </si>
  <si>
    <t>г. Североморск, ул. Северная, д. 29</t>
  </si>
  <si>
    <t>г. Североморск, ул. Северная, д. 30</t>
  </si>
  <si>
    <t>г. Североморск, ул. Северная, д. 32</t>
  </si>
  <si>
    <t>г. Североморск, ул. Северная, д. 33</t>
  </si>
  <si>
    <t>г. Североморск, ул. Северная, д. 33 А</t>
  </si>
  <si>
    <t>г. Североморск, ул. Советская, д. 10</t>
  </si>
  <si>
    <t>г. Североморск, ул. Советская, д. 25</t>
  </si>
  <si>
    <t>г. Североморск, ул. Советская, д. 27</t>
  </si>
  <si>
    <t>г. Североморск, ул. Советская, д. 29</t>
  </si>
  <si>
    <t>г. Североморск, ул. Советская, д. 31 А</t>
  </si>
  <si>
    <t>г. Североморск, ул. Советская, д. 33</t>
  </si>
  <si>
    <t>г. Североморск, ул. Флотских Строителей, д. 1</t>
  </si>
  <si>
    <t>г. Североморск, ул. Флотских Строителей, д. 5</t>
  </si>
  <si>
    <t>г. Североморск, ул. Флотских Строителей, д. 6</t>
  </si>
  <si>
    <t>нп. Щукозеро, ул. Приозерная, д. 1</t>
  </si>
  <si>
    <t>нп. Щукозеро, ул. Приозерная, д. 3</t>
  </si>
  <si>
    <t>пгт. Сафоново, ул. Школьная, д. 11</t>
  </si>
  <si>
    <t>пгт. Сафоново, ул. Школьная, д. 13</t>
  </si>
  <si>
    <t>пгт. Сафоново, ул. Школьная, д. 39</t>
  </si>
  <si>
    <t>нп. 27 км ж/д Мончегорск-Оленья,                 ул. Октябрьская, д. 12</t>
  </si>
  <si>
    <t>нп. 27 км ж/д Мончегорск-Оленья,                 ул. Октябрьская, д. 14</t>
  </si>
  <si>
    <t>нп. 27 км ж/д Мончегорск-Оленья,                 ул. Октябрьская, д. 16</t>
  </si>
  <si>
    <t>нп. Высокий, ул. Гвардейская, д. 11</t>
  </si>
  <si>
    <t>нп. Высокий, ул. Гвардейская, д. 12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</si>
  <si>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</si>
  <si>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</si>
  <si>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</si>
  <si>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</si>
  <si>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</si>
  <si>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61</t>
  </si>
  <si>
    <t>г/о Оленегорск-1, ул. Озерная, д. 2</t>
  </si>
  <si>
    <t>г/о Оленегорск-1, ул. Озерная, д. 4</t>
  </si>
  <si>
    <t>г/о Оленегорск-1, ул. Озерная, д. 7</t>
  </si>
  <si>
    <t>г/о Оленегорск-1, ул. Озерная, д. 8</t>
  </si>
  <si>
    <t>г/о Оленегорск-1, ул. Озерная, д. 9</t>
  </si>
  <si>
    <t>г/о Оленегорск-1, ул. Озерная, д. 10</t>
  </si>
  <si>
    <t>п. Корзуново, ул. Печенгская, д. 42</t>
  </si>
  <si>
    <t>п. Корзуново, ул. Печенгская, д. 43</t>
  </si>
  <si>
    <t>нп. Луостари, ул. Верхняя, д. 2</t>
  </si>
  <si>
    <t>нп. Луостари, ул. Верхняя, д. 4</t>
  </si>
  <si>
    <t>нп. Луостари, ул. Верхняя, д. 5</t>
  </si>
  <si>
    <t>нп. Луостари, ул. Верхняя, д. 6</t>
  </si>
  <si>
    <t>нп. Луостари, ул. Нижняя, д. 2</t>
  </si>
  <si>
    <t>нп. Луостари, ул. Нижняя, д. 3</t>
  </si>
  <si>
    <t>нп. Луостари, ул. Нижняя, д. 4</t>
  </si>
  <si>
    <t>нп. Луостари, ул. Нижняя, д. 6</t>
  </si>
  <si>
    <t>нп. Луостари, ул. Нижняя, д. 7</t>
  </si>
  <si>
    <t>нп. Луостари, ул. Нижняя, д. 8</t>
  </si>
  <si>
    <t>пгт. Печенга, ш. Печенгское, д. 4</t>
  </si>
  <si>
    <t>пгт. Печенга, ш. Печенгское, д. 6</t>
  </si>
  <si>
    <t>пгт. Печенга, ш. Печенгское, д. 7</t>
  </si>
  <si>
    <t>пгт. Печенга, ш. Печенгское, д. 8</t>
  </si>
  <si>
    <t>пгт. Печенга, ш. Печенгское, д. 10</t>
  </si>
  <si>
    <t>пгт. Печенга, ш. Печенгское, д. 11</t>
  </si>
  <si>
    <t>пгт. Печенга, ш. Печенгское, д. 12</t>
  </si>
  <si>
    <t>пгт. Печенга, ул. Стадионная, д. 3</t>
  </si>
  <si>
    <t>пгт. Печенга, ул. Стадионная, д. 4</t>
  </si>
  <si>
    <t>пгт. Печенга, ул. Стадионная, д. 5</t>
  </si>
  <si>
    <t>пгт. Печенга, ул. Стадионная, д. 7</t>
  </si>
  <si>
    <t>пгт. Печенга, ул. Стадионная, д. 8</t>
  </si>
  <si>
    <t>пгт. Печенга, ул. Стадионная, д. 9</t>
  </si>
  <si>
    <t>пгт. Печенга, ул. Стадионная, д. 10</t>
  </si>
  <si>
    <t>жд. ст. Печенга 19 км, д. 1</t>
  </si>
  <si>
    <t>жд. ст. Печенга 19 км, д. 2</t>
  </si>
  <si>
    <t>жд. ст. Печенга 19 км, д. 3</t>
  </si>
  <si>
    <t>жд. ст. Печенга 19 км, д. 4</t>
  </si>
  <si>
    <t>нп. Спутник, ул. Новая, д. 15</t>
  </si>
  <si>
    <t>нп. Спутник, ул. Новая, д. 21</t>
  </si>
  <si>
    <t>нп. Спутник, ул. Новая, д. 8</t>
  </si>
  <si>
    <t>г. Гаджиево, ул. В.И. Ленина, д. 53</t>
  </si>
  <si>
    <t>г. Гаджиево, ул. В.И. Ленина, д. 54</t>
  </si>
  <si>
    <t>г. Гаджиево, ул. Мира, д. 79</t>
  </si>
  <si>
    <t>г. Полярный, ул. Лунина, д. 10</t>
  </si>
  <si>
    <t>г. Полярный, ул. Лунина, д. 5</t>
  </si>
  <si>
    <t xml:space="preserve">г. Полярный, ул. Советская, д. 3     </t>
  </si>
  <si>
    <t>г. Снежногорск, ул. Флотская, д. 13</t>
  </si>
  <si>
    <t>г. Снежногорск, ул. Флотская, д. 8</t>
  </si>
  <si>
    <t xml:space="preserve">г. Заозерск, ул. Колышкина, д. 1 </t>
  </si>
  <si>
    <t>г. Заозерск, ул. Колышкина, д. 5</t>
  </si>
  <si>
    <t>г. Заозерск, ул. Колышкина, д. 15</t>
  </si>
  <si>
    <t>г. Заозерск, ул. Ленинского Комсомола,          д. 12</t>
  </si>
  <si>
    <t>г. Заозерск, ул. Мира,  д. 1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</si>
  <si>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</si>
  <si>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</si>
  <si>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</si>
  <si>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</si>
  <si>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сп. Алакуртти, ул. Набережная, д. 23</t>
  </si>
  <si>
    <t>сп. Алакуртти, наб. Нижняя, д. 7</t>
  </si>
  <si>
    <t>сп. Алакуртти, наб. Нижняя, д. 11</t>
  </si>
  <si>
    <t>нп. Лупче-Савино-2, д. 15</t>
  </si>
  <si>
    <t>нп. Лупче-Савино-2, д. 18</t>
  </si>
  <si>
    <t>нп. Килпъявр, ул. Небольсина, д. 8</t>
  </si>
  <si>
    <t>нп. Килпъявр, ул. Сафонова, д. 16</t>
  </si>
  <si>
    <t>нп. Килпъявр, ул. Небольсина, д. 13</t>
  </si>
  <si>
    <t>нп. 27 км ж/д Мончегорск-Оленья, 
ул. Набережная, д. 3</t>
  </si>
  <si>
    <t>г. Мурманск, ул. Гарнизонная, д. 22</t>
  </si>
  <si>
    <t>нп. Килпъявр, ул. Небольсина, д. 15</t>
  </si>
  <si>
    <t>нп. Килпъявр, ул.Небольсина, д. 15</t>
  </si>
  <si>
    <t>пгт. Ревда, ул. Победы, д. 27</t>
  </si>
  <si>
    <t>с. Ловозеро, ул. Юрьева, д. 12</t>
  </si>
  <si>
    <t>г. Мурманск, б-р Театральный, д. 6</t>
  </si>
  <si>
    <t>г. Кола, пр. Миронова, д. 28</t>
  </si>
  <si>
    <t>г. Кандалакша, ул. Шевчука, д. 13</t>
  </si>
  <si>
    <t>г. Полярные Зори, пр. Нивский, д. 12</t>
  </si>
  <si>
    <t>г. Мурманск, ул. Ростинская, д. 9</t>
  </si>
  <si>
    <t>г. Мурманск, ул. Сафонова, д. 45</t>
  </si>
  <si>
    <t>г. Мурманск, пр-д Молодежный, д. 16</t>
  </si>
  <si>
    <t>г. Мурманск, ул. Полярные Зори, д. 34</t>
  </si>
  <si>
    <t>г. Полярный, ул. Видяева, д. 2</t>
  </si>
  <si>
    <t xml:space="preserve">г. Полярный, ул. Сивко, д. 4     </t>
  </si>
  <si>
    <t>г. Североморск, ул. Инженерная, д. 1</t>
  </si>
  <si>
    <t>г. Мурманск, ул. Папанина, д. 7</t>
  </si>
  <si>
    <t>г. Мурманск, ул. Свердлова, д. 2/3</t>
  </si>
  <si>
    <t>* – включая  ремонт лифтовых шахт, машинных и блочных помещений;</t>
  </si>
  <si>
    <t>** – в том числе ремонт или замена системы водоотвода с заменой или восстановлением водосточных труб;</t>
  </si>
  <si>
    <t>*** – в том числе утепление, замена или восстановление водосточных труб, ремонт отмостки;</t>
  </si>
  <si>
    <t>**** – не включенные в пункты 4-19 данной формы и предусмотренные Перечнем услуг и (или) работ по капитальному ремонту общего имущества в многоквартирном доме, которые могут финансироваться за счет  средств государственной поддержки Мурманской области на проведение капитального ремонта общего имущества в многоквартирных домах, утвержденного постановлением Правительства Мурманской области от 10.09.2020 № 626-ПП;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</si>
  <si>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</si>
  <si>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</si>
  <si>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</si>
  <si>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Североморск, ул. Адмирала Чабаненко, д. 1</t>
  </si>
  <si>
    <t>г. Североморск, ул. Адмирала Чабаненко, д. 3</t>
  </si>
  <si>
    <t>г. Североморск, ул. Адмирала Чабаненко, д. 5</t>
  </si>
  <si>
    <t>г. Североморск, ул. Адмирала Чабаненко, д. 7</t>
  </si>
  <si>
    <t>г. Североморск, ул. Адмирала Чабаненко, д. 9</t>
  </si>
  <si>
    <t>г. Североморск, ул. Адмирала Чабаненко, д. 23</t>
  </si>
  <si>
    <t>г. Североморск, ул. Вице-адмирала Падорина, д. 12</t>
  </si>
  <si>
    <t>г. Североморск, ул. Вице-адмирала Падорина, д. 14</t>
  </si>
  <si>
    <t>г. Североморск, ул. Вице-адмирала Падорина, д. 23</t>
  </si>
  <si>
    <t>г. Североморск, ул. Инженерная, д. 2</t>
  </si>
  <si>
    <t>г. Североморск, ул. Инженерная, д. 3</t>
  </si>
  <si>
    <t>г. Североморск, ул. Инженерная, д. 4</t>
  </si>
  <si>
    <t>г. Североморск, ул. Инженерная, д. 6</t>
  </si>
  <si>
    <t>г. Североморск, ул. Инженерная, д. 7</t>
  </si>
  <si>
    <t>г. Североморск, ул. Инженерная, д. 7А</t>
  </si>
  <si>
    <t>г. Североморск, ул. Инженерная, д. 9</t>
  </si>
  <si>
    <t>г. Североморск, ул. Инженерная, д. 11</t>
  </si>
  <si>
    <t>г. Североморск, ул. Инженерная, д. 12</t>
  </si>
  <si>
    <t>г. Североморск, ул. Корабельная, д. 4</t>
  </si>
  <si>
    <t>г. Североморск, ул. Корабельная, д. 6</t>
  </si>
  <si>
    <t>г. Североморск, ул. Корабельная, д. 8</t>
  </si>
  <si>
    <t>г. Североморск, ул. Корабельная, д. 10</t>
  </si>
  <si>
    <t>г. Североморск, ул. Корабельная, д. 12</t>
  </si>
  <si>
    <t>г. Североморск, ул. Корабельная, д. 14</t>
  </si>
  <si>
    <t>г. Североморск, ул. Корабельная, д. 16</t>
  </si>
  <si>
    <t xml:space="preserve">г. Североморск, ул. Корабельная, д. 20 </t>
  </si>
  <si>
    <t xml:space="preserve">г. Североморск, ул. Корабельная, д. 22 </t>
  </si>
  <si>
    <t>г. Североморск, ул. Полярная, д. 5</t>
  </si>
  <si>
    <t>г. Североморск, ул. Полярная, д. 6</t>
  </si>
  <si>
    <t>г. Североморск, ул. Полярная, д. 7</t>
  </si>
  <si>
    <t>г. Североморск, ул. Полярная, д. 8</t>
  </si>
  <si>
    <t>г. Североморск, ул. Полярная, д. 9</t>
  </si>
  <si>
    <t>г. Североморск, ул. Советская, д. 7</t>
  </si>
  <si>
    <t>г. Североморск, ул. Флотских Строителей, д. 2</t>
  </si>
  <si>
    <t>г. Мурманск, ул. Полярные Зори, д. 46</t>
  </si>
  <si>
    <t>г. Мурманск, ул. Старостина, д. 37</t>
  </si>
  <si>
    <t>г/о Оленегорск-2, ул. Октябрьская, д. 1</t>
  </si>
  <si>
    <t>г/о Оленегорск-2, ул. Октябрьская, д. 2</t>
  </si>
  <si>
    <t>г/о Оленегорск-2, ул. Октябрьская, д. 3</t>
  </si>
  <si>
    <t>г/о Оленегорск-2, ул. Октябрьская, д. 4</t>
  </si>
  <si>
    <t>г/о Оленегорск-2, ул. Октябрьская, д. 5</t>
  </si>
  <si>
    <t>г/о Оленегорск-2, ул. Туристов, д. 3</t>
  </si>
  <si>
    <t>г/о Оленегорск-2, ул. Туристов, д. 4</t>
  </si>
  <si>
    <t>г/о Оленегорск-2, ул. Туристов, д. 5</t>
  </si>
  <si>
    <t>г. Гаджиево, ул. В.И. Ленина, д. 39</t>
  </si>
  <si>
    <t>г. Гаджиево, ул. В.И. Ленина, д. 58</t>
  </si>
  <si>
    <t>г. Гаджиево, ул. В.И. Ленина, д. 76</t>
  </si>
  <si>
    <t>г. Гаджиево, ул. Колышкина, д. 130</t>
  </si>
  <si>
    <t>г. Гаджиево, ул. Колышкина, д. 131</t>
  </si>
  <si>
    <t>г. Гаджиево, ул. М. Гаджиева, д. 44</t>
  </si>
  <si>
    <t xml:space="preserve">г. Полярный, ул. Героев Тумана, д. 1    </t>
  </si>
  <si>
    <t>г. Полярный, ул. Красный Горн, д. 12</t>
  </si>
  <si>
    <t>г. Полярный, ул. Советская, д. 5</t>
  </si>
  <si>
    <t>г. Полярный, ул. Фисановича, д. 1</t>
  </si>
  <si>
    <t>г. Полярный, ул. Фисановича, д. 3</t>
  </si>
  <si>
    <t>г. Снежногорск, ул. Октябрьская, д. 26</t>
  </si>
  <si>
    <t>г. Заозерск, ул. Колышкина, д. 14</t>
  </si>
  <si>
    <t>г. Заозерск, ул. Строительная, д. 5</t>
  </si>
  <si>
    <t>г. Североморск, ул. Гвардейская, д. 8</t>
  </si>
  <si>
    <t>г. Североморск, ул. Колышкина, д. 1</t>
  </si>
  <si>
    <t>г. Североморск, ул. Колышкина, д. 1а</t>
  </si>
  <si>
    <t>г. Североморск, ул. Колышкина, д. 3</t>
  </si>
  <si>
    <t>г. Североморск, ул. Сафонова, д. 22</t>
  </si>
  <si>
    <t>нп Североморск-3, ул. Героев Североморцев, д. 8</t>
  </si>
  <si>
    <t>нп Североморск-3, ул. Героев Североморцев, д. 9</t>
  </si>
  <si>
    <t>нп Североморск-3, ул. Героев Североморцев, д. 9а</t>
  </si>
  <si>
    <t>нп. Щукозеро, ул. Агеева, д. 3</t>
  </si>
  <si>
    <t>нп. Щукозеро, ул. Агеева, д. 3а</t>
  </si>
  <si>
    <t>п. Видяево, ул. Заречная, д. 13</t>
  </si>
  <si>
    <t>нп. Высокий, ул. Можаева, д. 24 Б</t>
  </si>
  <si>
    <t>нп. Высокий, ул. Дальняя, д. 60</t>
  </si>
  <si>
    <t>нп. Высокий, ул. Дальняя, д. 62</t>
  </si>
  <si>
    <t>г. Гаджиево, ул. В.И. Ленина, д. 38</t>
  </si>
  <si>
    <t>г. Полярный, ул. Душенова, д. 5</t>
  </si>
  <si>
    <t>сп. Алакуртти, ул. Кузнецова, д. 16</t>
  </si>
  <si>
    <t>сп. Алакуртти, ул. Набережная, д. 21</t>
  </si>
  <si>
    <t>сп. Алакуртти, ул. Набережная, д. 25</t>
  </si>
  <si>
    <r>
      <t>2020</t>
    </r>
    <r>
      <rPr>
        <vertAlign val="superscript"/>
        <sz val="8"/>
        <color theme="1"/>
        <rFont val="Times New Roman"/>
        <family val="1"/>
        <charset val="204"/>
      </rPr>
      <t>3</t>
    </r>
  </si>
  <si>
    <t>г. Гаджиево, ул. Колышкина, д. 113</t>
  </si>
  <si>
    <t>¹ - капитальный ремонт  фасада МКД № 67 по пр. Ленина предусмотрен в период 2022-2023 гг., капитальный ремонт ВДИС газоснабжения, подвала, фундамента предусмотрен в 2025 гг., капитальный ремонт крыши предусмотрен в период 2022-2025 гг; капитальный ремонт ВДИС электроснабжения, теплоснабжения предусмотрен в период 2024-2025 гг</t>
  </si>
  <si>
    <t>² - капитальный ремонт крыши и фасада МКД № 80 по пр. Ленина предусмотрен в период 2022-2023 гг., капитальный ремонт ВДИС теплоснабжения, электроснабжения в 2023 году, капитальный ремонт подвала, фундамента предусмотрен в 2025 гг;</t>
  </si>
  <si>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- капитальный ремонт фундамента МКД № 59 по ул. Академика Павлова предусмотрен в в период 2025 гг., капитальный ремонт ВДИС и крыши предусмотрен в 2023 году;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</si>
  <si>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- капитальный ремонт ВДИС МКД № 22 по ул. Октябрьская предусмотрен на период 2020-2023 гг., капитальный ремонт фасада предусмотрен на 2023  год;»</t>
    </r>
  </si>
  <si>
    <r>
      <rPr>
        <sz val="6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- капитальный ремонт фасада МКД № 12 по ул. Сафонова предусмотрен в период 2022-2024 гг., капитальный ремонт ВДИС предусмотрен в 2024 году».</t>
    </r>
  </si>
  <si>
    <t>г. Мурманск, ул. Анатолия Бредова,           д. 12</t>
  </si>
  <si>
    <t>г. Мурманск, ул. Анатолия Бредова,            д. 14</t>
  </si>
  <si>
    <t>г. Кировск, пр. Ленина, д. 11 а</t>
  </si>
  <si>
    <t>г. Кировск, пр. Ленина, д. 5 б</t>
  </si>
  <si>
    <t>г. Кировск, пр. Ленина, д. 7 в</t>
  </si>
  <si>
    <t>г. Кировск, ул. Мира, д. 2</t>
  </si>
  <si>
    <t>г. Мурманск, пр. Ленина, д. 88</t>
  </si>
  <si>
    <t>г. Гаджиево, ул. В.И. Ленина, д. 75</t>
  </si>
  <si>
    <t>г. Гаджиево, ул. В.И. Ленина, д. 77</t>
  </si>
  <si>
    <t>г. Снежногорск, ул. Флотская, д. 3</t>
  </si>
  <si>
    <t>г. Снежногорск, ул. Флотская, д. 12</t>
  </si>
  <si>
    <t>г. Заозерск, ул. Матроса Рябинина,             д. 15</t>
  </si>
  <si>
    <t>пгт. Сафоново, ул. Капитана Елькина,                д. 19</t>
  </si>
  <si>
    <t>п. Видяево, ул.Заречная, д. 23</t>
  </si>
  <si>
    <t>г. Ковдор, ул. Горняков, д. 26</t>
  </si>
  <si>
    <t>г. Мурманск, ул. Виктора Миронова, 
д. 4</t>
  </si>
  <si>
    <t>г. Мурманск, ул. Виктора Миронова, 
д. 6</t>
  </si>
  <si>
    <t>г. Мурманск, ул. Виктора Миронова, 
д. 13</t>
  </si>
  <si>
    <t>г. Мурманск, ул. Виктора Миронова,
 д. 16/32</t>
  </si>
  <si>
    <t>г. Мурманск, пер. Водопроводный, 
д. 7 корп. 2</t>
  </si>
  <si>
    <t>г. Мурманск, ул. Карла Либкнехта, 
д. 21/22</t>
  </si>
  <si>
    <t>г. Мурманск, ул. Павлика Морозова, 
д. 4а</t>
  </si>
  <si>
    <t>г. Мурманск, ул. Софьи Перовской, 
д. 10</t>
  </si>
  <si>
    <t>г/о Оленегорск-2, ул. Ленинградская, 
д. 3</t>
  </si>
  <si>
    <t>г/о Оленегорск-2, ул. Ленинградская, 
д. 12</t>
  </si>
  <si>
    <t>г/о Оленегорск-2, ул. Ленинградская,
 д. 14</t>
  </si>
  <si>
    <t>пгт. Никель, пр-кт Гвардейский, д. 37</t>
  </si>
  <si>
    <t>пгт. Никель, ул. Октябрьская, д. 7</t>
  </si>
  <si>
    <t>г. Полярный, ул. Красный Горн, д. 9</t>
  </si>
  <si>
    <t>пгт Молочный, ул. Гальченко, д.10</t>
  </si>
  <si>
    <t>г. Мурманск, ул. Капитана Буркова, 
д. 13</t>
  </si>
  <si>
    <t>г. Мурманск, ул. Капитана Буркова,
 д. 41</t>
  </si>
  <si>
    <t>г. Мурманск, ул. Капитана Буркова, 
д. 45</t>
  </si>
  <si>
    <t>г. Мурманск, пр. Капитан Тарана, 
д. 10</t>
  </si>
  <si>
    <t>г. Мурманск, пр. Капитан Тарана,
 д. 16</t>
  </si>
  <si>
    <t>г. Мурманск, ул. Полины Осипенко,
 д. 2</t>
  </si>
  <si>
    <t>г. Мурманск, ул. Полины Осипенко, 
д. 4</t>
  </si>
  <si>
    <t>г. Мурманск, ул. Полины Осипенко, 
д. 6</t>
  </si>
  <si>
    <t>г. Мурманск, ул. Полины Осипенко, 
д. 8</t>
  </si>
  <si>
    <t>г. Мурманск, ул. Полины Осипенко,
 д. 10</t>
  </si>
  <si>
    <t>г. Мурманск, ул. Полины Осипенко, 
д. 14</t>
  </si>
  <si>
    <t>г. Мурманск, ул. Софьи Перовской,
 д. 14</t>
  </si>
  <si>
    <t>г. Мурманск, ул. Софьи Перовской,
 д. 16</t>
  </si>
  <si>
    <t>г. Мурманск, ул. Софьи Перовской,
 д. 18</t>
  </si>
  <si>
    <t>г. Мурманск, ул. Софьи Перовской,
 д. 19</t>
  </si>
  <si>
    <t>г. Мурманск, ул. Софьи Перовской,
 д. 27</t>
  </si>
  <si>
    <t>г. Мурманск, ул. Софьи Перовской, 
д. 6</t>
  </si>
  <si>
    <t>г. Мурманск, ул. Софьи Перовской, 
д. 8</t>
  </si>
  <si>
    <t>г/о Оленегорск-2, ул. 60 лет СССР, 
д. 21</t>
  </si>
  <si>
    <t>г/о Оленегорск-2, ул. Ленинградская, 
д. 2</t>
  </si>
  <si>
    <t>г/о Оленегорск-2, ул. Ленинградская, 
д. 5</t>
  </si>
  <si>
    <t>г/о Оленегорск-2, ул. Ленинградская, 
д. 6</t>
  </si>
  <si>
    <t>г/о Оленегорск-2, ул. Ленинградская,
 д. 9</t>
  </si>
  <si>
    <t>г/о Оленегорск-2, ул. Ленинградская, 
д. 10</t>
  </si>
  <si>
    <t>г/о Оленегорск-2, ул. Ленинградская, 
д. 13</t>
  </si>
  <si>
    <t>г/о Оленегорск-2, ул. Ленинградская, 
д. 15</t>
  </si>
  <si>
    <t>г. Североморск, ул. Комсомольская, 
д. 14</t>
  </si>
  <si>
    <t>г. Североморск, ул. Комсомольская, 
д. 19</t>
  </si>
  <si>
    <t>г. Североморск, ул. Комсомольская, 
д. 23</t>
  </si>
  <si>
    <t>г. Североморск, ул. Комсомольская, 
д. 4</t>
  </si>
  <si>
    <t>г. Североморск, ул. Комсомольская, 
д. 9</t>
  </si>
  <si>
    <t>г. Североморск, ул. Корабельная, 
д. 20А</t>
  </si>
  <si>
    <t>г. Североморск, ул. Корабельная,
 д. 22А</t>
  </si>
  <si>
    <t>нп. Североморск-3, ул. Тимура Апакидзе, д. 9</t>
  </si>
  <si>
    <t>нп. Североморск-3, ул. Тимура Апакидзе, д. 12</t>
  </si>
  <si>
    <t>г. Мурманск, ул. Карла Либкнехта,
 д. 27</t>
  </si>
  <si>
    <t>г. Мурманск, ул. Карла Либкнехта, 
д. 42</t>
  </si>
  <si>
    <t>г. Мурманск, ул. Полярные Зори, 
д. 33 корп.1</t>
  </si>
  <si>
    <t>г. Мурманск (Росляково), 
ш. Североморское, д. 9</t>
  </si>
  <si>
    <t>г/о Оленегорск-2, ул. Ленинградская,
 д. 6</t>
  </si>
  <si>
    <t>г/о Оленегорск-2, ул. Ленинградская, 
д. 9</t>
  </si>
  <si>
    <t>г/о Оленегорск-2, ул. Ленинградская, 
д. 16</t>
  </si>
  <si>
    <t>г/о Оленегорск-2, ул. Ленинградская, 
д. 18</t>
  </si>
  <si>
    <t>г. Кандалакша, ул. Комсомольская, 
д. 18</t>
  </si>
  <si>
    <t>г. Мурманск, ул. Анатолия Бредова,    
   д. 5</t>
  </si>
  <si>
    <t>г. Мурманск, ул. Академика Павлова,
 д. 59</t>
  </si>
  <si>
    <t>н.п. 25 км ж/д Мончегорск-Оленья,   
  ул. Совхозная, д. 4</t>
  </si>
  <si>
    <t>г. Мурманск, ул. Виктора Миронова,   
   д. 1</t>
  </si>
  <si>
    <t>г. Мурманск, ул. Академика Павлова, 
д. 59</t>
  </si>
  <si>
    <t>г. Мурманск, ул. Александра Невского, 
д. 69/51</t>
  </si>
  <si>
    <t>г. Мурманск, ул. Александра Невского,
 д. 75</t>
  </si>
  <si>
    <t>г. Мурманск, ул. Александра Невского, 
д. 79</t>
  </si>
  <si>
    <t>г. Мурманск, ул. Александра Невского, 
д. 83</t>
  </si>
  <si>
    <t>г. Мурманск, ул. Александра Невского,
 д. 87</t>
  </si>
  <si>
    <t>г. Мурманск, ул. Александра Невского, 
д. 91</t>
  </si>
  <si>
    <t>г. Мурманск, ул. Александра Невского, 
д. 92</t>
  </si>
  <si>
    <t>г. Мурманск, ул. Александра Невского, 
д. 95</t>
  </si>
  <si>
    <t>г. Мурманск, ул. Александра Невского, 
д. 97/60</t>
  </si>
  <si>
    <t>г. Мурманск, ул. Александра Невского, 
д. 98</t>
  </si>
  <si>
    <t>г. Мурманск, ул. Алексея Генералова,
 д. 12</t>
  </si>
  <si>
    <t>г. Мурманск, ул. Алексея Хлобыстова, 
д. 7</t>
  </si>
  <si>
    <t>г. Мурманск, ул. Алексея Хлобыстова, 
д. 13</t>
  </si>
  <si>
    <t>г. Мурманск, ул. Алексея Хлобыстова, 
д. 14 корп. 1</t>
  </si>
  <si>
    <t>г. Мурманск, ул. Алексея Хлобыстова,
 д. 14 корп. 2</t>
  </si>
  <si>
    <t>г. Мурманск, ул. Алексея Хлобыстова, 
д. 14 корп. 3</t>
  </si>
  <si>
    <t>г. Мурманск, ул. Алексея Хлобыстова, 
д. 14 корп. 4</t>
  </si>
  <si>
    <t>г. Мурманск, ул. Алексея Хлобыстова, 
д. 15</t>
  </si>
  <si>
    <t>г. Мурманск, ул. Алексея Хлобыстова, 
д. 16 корп. 2</t>
  </si>
  <si>
    <t>г. Мурманск, ул. Алексея Хлобыстова,
 д. 16 корп. 3</t>
  </si>
  <si>
    <t>г. Мурманск, ул. Алексея Хлобыстова, 
д. 17</t>
  </si>
  <si>
    <t>г. Мурманск, ул. Алексея Хлобыстова, 
д. 20 корп. 1</t>
  </si>
  <si>
    <t>г. Мурманск, ул. Алексея Хлобыстова, 
д. 20 корп. 2</t>
  </si>
  <si>
    <t>г. Мурманск, ул. Капитана Копытова,
 д. 41</t>
  </si>
  <si>
    <t>г. Мурманск, ул. Ивана Сивко, д. 9 
корп. 3</t>
  </si>
  <si>
    <t>г. Мурманск, ул. Ивана Сивко, д. 9 
корп. 4</t>
  </si>
  <si>
    <t>г. Мурманск, ул. Ломоносова, д. 10 
корп. 2</t>
  </si>
  <si>
    <t>г. Мурманск, пр-д Михаила Бабикова,
 д. 15</t>
  </si>
  <si>
    <t>г. Мурманск, ул. Профессора Сомова, 
д. 7</t>
  </si>
  <si>
    <t>г. Североморск, ул. Адмирала Сизова, 
д. 17</t>
  </si>
  <si>
    <t>г. Североморск, ул. Адмирала Сизова, 
д. 8</t>
  </si>
  <si>
    <t>г. Североморск, ул. Северная Застава,
 д. 28</t>
  </si>
  <si>
    <t>г. Североморск, ул. Северная Застава, 
д. 32</t>
  </si>
  <si>
    <t>г. Североморск, ул. Северная Застава, 
д. 34</t>
  </si>
  <si>
    <t>г. Североморск, ул. Северная Застава, 
д. 30</t>
  </si>
  <si>
    <t>г. Североморск, ул. Северная Застава, 
д. 9</t>
  </si>
  <si>
    <t>г. Североморск, ул. Северная Застава, 
д. 8а</t>
  </si>
  <si>
    <t>г. Североморск, ул. Северная Застава,
д. 40</t>
  </si>
  <si>
    <t>пгт. Сафоново, ул. Капитана Елькина, 
д. 2</t>
  </si>
  <si>
    <t>пгт. Сафоново, ул. Капитана Елькина, 
д. 3</t>
  </si>
  <si>
    <t>пгт. Сафоново, ул. Капитана Елькина, 
д. 5</t>
  </si>
  <si>
    <t>пгт. Сафоново, ул. Преображенского, 
д. 3</t>
  </si>
  <si>
    <t>пгт. Сафоново, ул. Преображенского,
 д. 5</t>
  </si>
  <si>
    <t>пгт. Сафоново, ул. Преображенского, 
д. 6</t>
  </si>
  <si>
    <t>пгт Кильдинстрой,                          
туп. Железнодорожный, д. 16</t>
  </si>
  <si>
    <t>пгт Кильдинстрой,                    
  туп. Железнодорожный, д. 17</t>
  </si>
  <si>
    <t>г. Мурманск, ул. Александра Невского, 
д. 88</t>
  </si>
  <si>
    <t>г. Островной, ул. Жертв Интервенции, 
д. 3</t>
  </si>
  <si>
    <t>пгт. Сафоново, ул. Капитана Елькина,
 д. 2</t>
  </si>
  <si>
    <t>пгт. Сафоново, ул. Капитана Елькина,
 д. 3</t>
  </si>
  <si>
    <t>пгт. Сафоново, ул. Капитана Елькина,
 д. 8</t>
  </si>
  <si>
    <t>г. Североморск, ул. Северная Застава, 
д. 40</t>
  </si>
  <si>
    <t>нп Коашва, д. 12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</si>
  <si>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</si>
  <si>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</si>
  <si>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</si>
  <si>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</si>
  <si>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</si>
  <si>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г. Мурманск, ул. Гвардейская, д. 19</t>
  </si>
  <si>
    <t xml:space="preserve"> г. Мурманск, пр. Кирова, д. 20</t>
  </si>
  <si>
    <t>г. Мурманск, ул. Мира, д. 8</t>
  </si>
  <si>
    <t>г. Мурманск, ул. Привокзальная, д. 14</t>
  </si>
  <si>
    <t>г. Мурманск, ул. Георгия Седова, д. 24</t>
  </si>
  <si>
    <t>г. Мурманск, ул. Старостина, д. 69</t>
  </si>
  <si>
    <t>г. Апатиты, ул. Зиновьева, д. 3</t>
  </si>
  <si>
    <t>г. Апатиты, ул. Ленина, д. 12</t>
  </si>
  <si>
    <t>г. Апатиты, ул. Ферсмана, д. 18</t>
  </si>
  <si>
    <t>г. Апатиты, ул. Ферсмана, д. 35</t>
  </si>
  <si>
    <t>г. Кировск, ул. Кирова, д. 21</t>
  </si>
  <si>
    <t>г. Кировск, пр. Ленина, д. 23</t>
  </si>
  <si>
    <t>г. Ковдор, ул. Кирова, д. 14</t>
  </si>
  <si>
    <t>г. Мончегорск, ул. Климентьева, д. 1</t>
  </si>
  <si>
    <t>г. Мончегорск, ул. Комсомольская, д. 34</t>
  </si>
  <si>
    <t>г. Мончегорск, наб. Комсомольская, д. 62</t>
  </si>
  <si>
    <t>г. Мурманск, ул. Академика Павлова, д. 59</t>
  </si>
  <si>
    <t>г. Мурманск, ул. Академика Книповича,         д. 24</t>
  </si>
  <si>
    <t>г. Мурманск, ул. Аскольдовцев, д. 7</t>
  </si>
  <si>
    <t>г. Мурманск, ул. Воровского, д. 20</t>
  </si>
  <si>
    <t>г. Мурманск, ул. Г. Рыбачьего, д. 41</t>
  </si>
  <si>
    <t>г. Мурманск, ул. Достоевского, д. 12</t>
  </si>
  <si>
    <t>г. Мурманск, ул. Загородная, д. 19</t>
  </si>
  <si>
    <t>г. Мурманск, ул. Каменная, д. 2 корп. 1</t>
  </si>
  <si>
    <t>г. Мурманск, ул. Капитана Буркова, д. 45</t>
  </si>
  <si>
    <t>г. Мурманск, ул. Карла Маркса, д. 23/51</t>
  </si>
  <si>
    <t>г. Мурманск, пр. Кирова, д. 25</t>
  </si>
  <si>
    <t>г. Мурманск, пр. Кольский, д. 10</t>
  </si>
  <si>
    <t>г. Мурманск, пр. Кольский, д. 93</t>
  </si>
  <si>
    <t>г. Мурманск, пр. Кольский, д. 97 корп. 3</t>
  </si>
  <si>
    <t>г. Мурманск, пр. Кольский, д. 150 корп. 4</t>
  </si>
  <si>
    <t>г. Мурманск, пр. Кольский, д. 150 корп. 5</t>
  </si>
  <si>
    <t>г. Мурманск, пр. Кольский, д. 210</t>
  </si>
  <si>
    <t>г. Мурманск, пр. Ледокольный, д. 3</t>
  </si>
  <si>
    <t>г. Мурманск, пр. Ледокольный, д. 5</t>
  </si>
  <si>
    <t>г. Мурманск, пр. Ледокольный, д. 9</t>
  </si>
  <si>
    <t>г. Мурманск, пр. Ленина, д. 78</t>
  </si>
  <si>
    <t>г. Мурманск, ул. Марата, д. 23</t>
  </si>
  <si>
    <t>г. Мурманск, пр. Молодежный, д. 16</t>
  </si>
  <si>
    <t>г. Мурманск, ул. Полярные Зори, д. 20</t>
  </si>
  <si>
    <t>г. Мурманск, ул. Полярные Зори, д. 27 корп. 2</t>
  </si>
  <si>
    <t>г. Мурманск, ул. Полярные Зори, д. 49 корп. 6</t>
  </si>
  <si>
    <t>г. Мурманск, ул. Привокзальная, д. 16</t>
  </si>
  <si>
    <t>г. Мурманск (Росляково), ул. Приморская, д. 8/1</t>
  </si>
  <si>
    <t>г. Мурманск, ул. Радищева, д. 14 корп. 1</t>
  </si>
  <si>
    <t xml:space="preserve">г. Мурманск, ул. Радищева, д. 19 </t>
  </si>
  <si>
    <t>г. Мурманск, ул. Свердлова, д. 12 корп. 3</t>
  </si>
  <si>
    <t>г. Мурманск, ул. Софьи Перовской, д. 10</t>
  </si>
  <si>
    <t>г. Мурманск, б. Театральный, д. 8</t>
  </si>
  <si>
    <t>г. Мурманск, пр. Флотский, д. 1</t>
  </si>
  <si>
    <t>г. Мурманск, ул. Академика Книповича,         д. 9А</t>
  </si>
  <si>
    <t>г. Мурманск, ул. Зои Космодемьянской,       д. 17 корп. 2</t>
  </si>
  <si>
    <t>г. Мурманск, ул. Зои Космодемьянской,      д. 18</t>
  </si>
  <si>
    <t>г. Мурманск, ул. Зои Космодемьянской,           д. 19</t>
  </si>
  <si>
    <t>г. Мурманск, ул. Зои Космодемьянской,          д. 21</t>
  </si>
  <si>
    <t>г. Мурманск, ул. Зои Космодемьянской,    д. 22</t>
  </si>
  <si>
    <t>г. Мурманск, ул. Зои Космодемьянской,       д. 23</t>
  </si>
  <si>
    <t>г. Мурманск, ул. Зои Космодемьянской,         д. 24</t>
  </si>
  <si>
    <t>г. Мурманск, ул. Зои Космодемьянской,      д. 25</t>
  </si>
  <si>
    <t>г. Мурманск, ул. Зои Космодемьянской,        д. 26</t>
  </si>
  <si>
    <t>г. Мурманск (Росляково),      
   ш. Североморское, д. 8</t>
  </si>
  <si>
    <t>г. Полярные Зори, ул. Партизан Заполярья, д. 17</t>
  </si>
  <si>
    <t>нп Африканда, ул. Ленина, д. 2Б</t>
  </si>
  <si>
    <t>нп Африканда, ул.Советская, д. 3</t>
  </si>
  <si>
    <t>нп Африканда, ул.Советская, д. 7</t>
  </si>
  <si>
    <t>г. Заполярный, ул. Ленина, д. 22</t>
  </si>
  <si>
    <t>г. Заполярный, ул. Юбилейная, д. 7</t>
  </si>
  <si>
    <t>пгт. Никель, ул. Бредова, д. 6/12</t>
  </si>
  <si>
    <t>пгт. Никель, ул. Бредова, д. 10</t>
  </si>
  <si>
    <t xml:space="preserve">пгт. Никель, ул. Бредова, д. 12 </t>
  </si>
  <si>
    <t>пгт. Никель, пр-кт Гвардейский, д. 14</t>
  </si>
  <si>
    <t>пгт. Никель, ул. Печенгская, д. 18/9</t>
  </si>
  <si>
    <t>г. Гаджиево, ул. Душенова, д. 93</t>
  </si>
  <si>
    <t>г. Гаджиево, ул. Душенова, д. 91</t>
  </si>
  <si>
    <t>г. Гаджиево, ул. М. Гаджиева, д. 28</t>
  </si>
  <si>
    <t>г. Гаджиево, ул. Мира, д. 72</t>
  </si>
  <si>
    <t>г. Полярный, ул. Красный Горн, д. 15</t>
  </si>
  <si>
    <t>г. Североморск, ул. Авиаторов, д. 6</t>
  </si>
  <si>
    <t>г. Североморск, ул. Адмирала Сизова, д. 7</t>
  </si>
  <si>
    <t>г. Североморск, ул. Адмирала Сизова, 
д. 16</t>
  </si>
  <si>
    <t>г. Североморск, ул. Гаджиева, д. 1</t>
  </si>
  <si>
    <t>г. Североморск, ул. Гаджиева, д. 2</t>
  </si>
  <si>
    <t>г. Североморск, ул. Гаджиева, д. 3</t>
  </si>
  <si>
    <t>г. Североморск, ул. Гаджиева, д. 5</t>
  </si>
  <si>
    <t>г. Североморск, ул. Гвардейская, д. 15</t>
  </si>
  <si>
    <t>г. Североморск, ул. Гвардейская, д. 31б</t>
  </si>
  <si>
    <t>г. Североморск, ул. Гвардейская, д. 49</t>
  </si>
  <si>
    <t>г. Североморск, ул. Кирова, д. 7</t>
  </si>
  <si>
    <t>г. Североморск, ул. Кирова, д. 11</t>
  </si>
  <si>
    <t>г. Североморск, ул. Колышкина, д. 12</t>
  </si>
  <si>
    <t xml:space="preserve">г. Североморск, ул. Комсомольская, д. 2 </t>
  </si>
  <si>
    <t>г. Североморск, ул. Северная Застава,               д. 8</t>
  </si>
  <si>
    <t>г. Североморск, ул. Северная Застава, д. 9</t>
  </si>
  <si>
    <t>г. Североморск, ул. Советская, д. 20а</t>
  </si>
  <si>
    <t>г. Североморск, ул. Флотских Строителей, д. 7</t>
  </si>
  <si>
    <t>п. Видяево, ул. Центральная, д. 3</t>
  </si>
  <si>
    <t>г. Кандалакша, ул. 50 лет Октября, д. 5</t>
  </si>
  <si>
    <t>г. Кандалакша, ул. 50 лет Октября, д. 8</t>
  </si>
  <si>
    <t>г. Кандалакша, ул. Восточная, д. 10</t>
  </si>
  <si>
    <t>г. Кола, пр. Защитников Заполярья, д. 30</t>
  </si>
  <si>
    <t>г. Кола, пр. Советский, д. 42</t>
  </si>
  <si>
    <t>пгт. Мурмаши, ул. Цесарского, д. 12</t>
  </si>
  <si>
    <t>пгт. Мурмаши, ул. Цесарского, д. 12а</t>
  </si>
  <si>
    <t>пгт. Ревда, ул. Кузина д.7 корпус 3</t>
  </si>
  <si>
    <t>пгт. Ревда, ул. Победы, д. 25</t>
  </si>
  <si>
    <t>пгт. Ревда, пер. Солнечный, д. 1</t>
  </si>
  <si>
    <t>пгт. Ревда, пер. Солнечный, д. 2</t>
  </si>
  <si>
    <t>пгт. Ревда, ул. Умбозерская, д. 9</t>
  </si>
  <si>
    <t>пгт. Умба, ул. Беломорская, д. 5</t>
  </si>
  <si>
    <t>г. Мурманск, ул. Папанина, д. 22</t>
  </si>
  <si>
    <t>г. Мурманск, ул. Папанина, д. 24</t>
  </si>
  <si>
    <t>г. Мурманск, ул. Папанина, д. 34/25</t>
  </si>
  <si>
    <t>г. Мурманск, ул. Челюскинцев, д. 35</t>
  </si>
  <si>
    <t>жилрайон Росляково, ш. Североморское, 
д. 4</t>
  </si>
  <si>
    <t>нп. 25 км ж/д Мончегорск-Оленья, 
ул. Совхозная, д. 4</t>
  </si>
  <si>
    <t>г. Заполярный, ул. Юбилейная, д. 20</t>
  </si>
  <si>
    <t>г. Заозерск, ул. Генерала Чумаченко, д. 1</t>
  </si>
  <si>
    <t>г. Заозерск, ул. Ленинского Комсомола,
 д. 24</t>
  </si>
  <si>
    <t>г. Мурманск, ул. Генерала Журбы, д. 12</t>
  </si>
  <si>
    <t>г. Мурманск, ул. Зои Космодемьянской, 
д. 1</t>
  </si>
  <si>
    <t>г. Мурманск, ул. Зои Космодемьянской,
 д. 7</t>
  </si>
  <si>
    <t>г. Мурманск, ул. Зои Космодемьянской, 
д. 11</t>
  </si>
  <si>
    <t>г. Мурманск, ул. Зои Космодемьянской,
 д. 14</t>
  </si>
  <si>
    <t>г. Мурманск, ул. Зои Космодемьянской, 
д. 28</t>
  </si>
  <si>
    <t>г. Мурманск, ул. Зои Космодемьянской, 
д. 30</t>
  </si>
  <si>
    <t>г. Мурманск, ул. Зои Космодемьянской, 
д. 33</t>
  </si>
  <si>
    <t>г. Мурманск, ул. Зои Космодемьянской, 
д. 34</t>
  </si>
  <si>
    <t>г. Мурманск, ул. Зои Космодемьянской, 
д. 36</t>
  </si>
  <si>
    <t>г. Мурманск, пр. Кольский, д. 102</t>
  </si>
  <si>
    <t>г. Мурманск, пр. Кольский, д. 104 корп. 4</t>
  </si>
  <si>
    <t>г. Мурманск, пр. Кольский, д. 106 корп. 1</t>
  </si>
  <si>
    <t>г. Мурманск, пр. Кольский, д. 106 корп. 4</t>
  </si>
  <si>
    <t>г. Мурманск, пр. Кольский, д. 108 корп. 1</t>
  </si>
  <si>
    <t>г. Мурманск, пр. Кольский, д. 108 корп. 2</t>
  </si>
  <si>
    <t>г. Мурманск, пр. Кольский, д. 108 корп. 3</t>
  </si>
  <si>
    <t>г. Мурманск, пр. Молодежный, д. 3</t>
  </si>
  <si>
    <t>г. Мурманск, пр. Молодежный, д. 4</t>
  </si>
  <si>
    <t>г. Мурманск, пр. Молодежный, д. 5</t>
  </si>
  <si>
    <t>г. Мурманск, пр. Молодежный, д. 6</t>
  </si>
  <si>
    <t>г. Мурманск, пр. Молодежный, д. 8</t>
  </si>
  <si>
    <t>г. Мурманск, пр. Молодежный, д. 9</t>
  </si>
  <si>
    <t>г. Мурманск, пр. Молодежный, д. 10</t>
  </si>
  <si>
    <t>г. Мурманск, ул. Полярные Зори, д. 49 корп. 2</t>
  </si>
  <si>
    <t>г. Мурманск, ул. Свердлова, д. 82</t>
  </si>
  <si>
    <t>г. Мурманск, ул. Алексея Генералова,             д. 13</t>
  </si>
  <si>
    <t>г. Мурманск, ул. Виктора Миронова, д. 10</t>
  </si>
  <si>
    <t>г. Мурманск, пр. Г. Североморцев, д. 29</t>
  </si>
  <si>
    <t>г. Мурманск, пр. Г. Североморцев, д. 31</t>
  </si>
  <si>
    <t>г. Мурманск, ул. Карла Маркса, д. 6
 корп. 1</t>
  </si>
  <si>
    <t>г. Мурманск, пр. Кирова, д. 38</t>
  </si>
  <si>
    <t>г. Мурманск, пр. Кольский, д. 24</t>
  </si>
  <si>
    <t>г. Мурманск, пр. Кольский, д. 38</t>
  </si>
  <si>
    <t>г. Мурманск, пр. Кольский, д. 42</t>
  </si>
  <si>
    <t>г. Мурманск, пр. Кольский, д. 46</t>
  </si>
  <si>
    <t>г. Мурманск, пр. Ленина, д. 1</t>
  </si>
  <si>
    <t>г. Мурманск, пр. Ленина, д. 101</t>
  </si>
  <si>
    <t>г. Мурманск, ул. Папанина, д. 9</t>
  </si>
  <si>
    <t>г. Мурманск, ул. Папанина, д. 12</t>
  </si>
  <si>
    <t>г. Мурманск, ул. Папанина, д. 14</t>
  </si>
  <si>
    <t>г. Мурманск, ул. Папанина, д. 16</t>
  </si>
  <si>
    <t>г. Мурманск, ул. Папанина, д. 17</t>
  </si>
  <si>
    <t>г. Мурманск, ул. Папанина, д. 20</t>
  </si>
  <si>
    <t>г. Мурманск, ул. Папанина, д. 21</t>
  </si>
  <si>
    <t>г. Мурманск, ул. Папанина, д. 26</t>
  </si>
  <si>
    <t>г. Мурманск, ул. Ростинская, д. 1</t>
  </si>
  <si>
    <t>г. Мурманск, ул. Советская, д. 21</t>
  </si>
  <si>
    <t>г. Мурманск, ул. Фрунзе, д. 17</t>
  </si>
  <si>
    <t>г. Мурманск, ул. Шмидта, д. 33А</t>
  </si>
  <si>
    <t>г. Мурманск, ул. Шмидта, д. 39/1</t>
  </si>
  <si>
    <t>г/о Оленегорск-2, ул. Ленинградская, д. 1</t>
  </si>
  <si>
    <t>г. Гаджиево, ул. В.И. Ленина, д. 56</t>
  </si>
  <si>
    <t>г. Гаджиево, ул. В.И. Ленина, д. 57</t>
  </si>
  <si>
    <t>г. Гаджиево, ул. В.И. Ленина, д. 68</t>
  </si>
  <si>
    <t>г. Гаджиево, ул. М. Гаджиева, д. 45</t>
  </si>
  <si>
    <t>г. Североморск, ул. Сафонова, д. 15</t>
  </si>
  <si>
    <t>г. Североморск, ул. Сафонова, д. 20</t>
  </si>
  <si>
    <t>г. Североморск, ул. Сафонова, д. 21</t>
  </si>
  <si>
    <t>г. Североморск, ул. Сафонова, д. 23</t>
  </si>
  <si>
    <t>г. Североморск, ул. Сафонова, д. 24</t>
  </si>
  <si>
    <t>г. Североморск, ул. Сафонова, д. 25</t>
  </si>
  <si>
    <t>г. Североморск, ул. Сафонова, д. 26</t>
  </si>
  <si>
    <t>г. Североморск, ул. Сафонова, д. 27</t>
  </si>
  <si>
    <t>г. Североморск, ул. Сгибнева, д. 11</t>
  </si>
  <si>
    <t>сп. Алакуртти, ул. Кузнецова, д. 14</t>
  </si>
  <si>
    <t>сп. Алакуртти, ул. Кузнецова, д. 15</t>
  </si>
  <si>
    <t>г. Мурманск, ул. Академика Книповича, 
д. 19</t>
  </si>
  <si>
    <t>г. Мурманск, ул. Академика Книповича,
 д. 52</t>
  </si>
  <si>
    <t>г. Мурманск, ул. Академика Книповича, 
д. 37</t>
  </si>
  <si>
    <t>г. Мурманск, ул. Академика Книповича, 
д. 33 корп. 2</t>
  </si>
  <si>
    <t>г. Мурманск, ул. Аскольдовцев, 
д. 38/28</t>
  </si>
  <si>
    <t>г. Мончегорск, пр. Кирова, д. 23 корп. 2</t>
  </si>
  <si>
    <t>г. Мурманск, пр. Героев-Североморцев,
 д. 21</t>
  </si>
  <si>
    <t>г. Мурманск, пр. Героев-Североморцев,
 д. 5/3</t>
  </si>
  <si>
    <t>г. Мурманск, пр. Героев-Североморцев, 
д. 23/2</t>
  </si>
  <si>
    <t>г. Мурманск, пр. Героев-Североморцев, 
д. 31</t>
  </si>
  <si>
    <t>г. Мурманск, пр. Героев-Североморцев, 
д. 56</t>
  </si>
  <si>
    <t>г. Мурманск, пр. Героев-Североморцев, 
д. 58</t>
  </si>
  <si>
    <t>г. Мурманск, пр. Героев-Североморцев, 
д. 62</t>
  </si>
  <si>
    <t>г. Мурманск, пр. Героев-Североморцев, 
д. 66/19</t>
  </si>
  <si>
    <t>г. Мурманск, пр. Героев-Североморцев, 
д. 76 корп. 2</t>
  </si>
  <si>
    <t>г. Мурманск, пр. Героев-Североморцев, 
д. 78 корп. 2</t>
  </si>
  <si>
    <t>г. Мурманск, ул. Капитана Пономарева, 
д. 1/16</t>
  </si>
  <si>
    <t>г. Мурманск, пр. Кольский, д. 91 корп. 2</t>
  </si>
  <si>
    <t xml:space="preserve"> г. Мурманск, пр. Кольский, д. 174 корп. 4</t>
  </si>
  <si>
    <t xml:space="preserve"> г. Мурманск, пр. Кольский, д. 176 корп. 1</t>
  </si>
  <si>
    <t xml:space="preserve"> г. Мурманск, пр. Кольский, д. 176 корп. 2</t>
  </si>
  <si>
    <t xml:space="preserve"> г. Мурманск, пр. Кольский, д. 176 корп. 3</t>
  </si>
  <si>
    <t>г. Мурманск, ул. Комсомольская, д. 3А</t>
  </si>
  <si>
    <t>г. Мурманск, ул. Свердлова, д. 2 корп. 1</t>
  </si>
  <si>
    <t>г. Мурманск, ул. Свердлова, д. 2 корп. 2</t>
  </si>
  <si>
    <t>г. Мурманск, ул. Свердлова, д. 2 корп. 6</t>
  </si>
  <si>
    <t>г. Мурманск, ул. Свердлова, д. 2 корп. 5</t>
  </si>
  <si>
    <t>г. Мурманск, ул. Свердлова, д. 4 корп. 1</t>
  </si>
  <si>
    <t>г. Мурманск, ул. Свердлова, д. 4 корп. 2</t>
  </si>
  <si>
    <t>г. Мурманск, ул. Свердлова, д. 6 корп. 1</t>
  </si>
  <si>
    <t>г. Мурманск, ул. Свердлова, д. 6 корп. 3</t>
  </si>
  <si>
    <t>г. Мурманск, ул. Свердлова, д. 8 корп. 2</t>
  </si>
  <si>
    <t>г. Мурманск, ул. Свердлова, д. 8 корп. 3</t>
  </si>
  <si>
    <t>г. Мурманск, ул. Свердлова, д. 8 корп. 4</t>
  </si>
  <si>
    <t>г. Мурманск, ул. Свердлова, д. 8 корп. 5</t>
  </si>
  <si>
    <t>г. Полярные Зори, ул. Ломоносова, д. 28</t>
  </si>
  <si>
    <t>г. Полярные Зори, ул. Ломоносова, д. 1/2</t>
  </si>
  <si>
    <t>пгт Печенга, Печенгское шоссе, д. 4</t>
  </si>
  <si>
    <t>пгт Печенга, Печенгское шоссе, д. 6</t>
  </si>
  <si>
    <t>пгт Печенга, Печенгское шоссе, д. 8</t>
  </si>
  <si>
    <t>н.п. Оленья Губа, ул. Строителей, д. 35</t>
  </si>
  <si>
    <t xml:space="preserve">г. Заозерск, ул. Ленинского Комсомола, 
д. 7 </t>
  </si>
  <si>
    <t>г. Североморск, ул.Гвардейская, д. 35 А</t>
  </si>
  <si>
    <t>г. Североморск, ул. Гвардейская, д. 36 А</t>
  </si>
  <si>
    <t>г. Кандалакша, ул. Комсомольская, д. 5</t>
  </si>
  <si>
    <t>г. Кандалакша, ул. Первомайская, д. 15</t>
  </si>
  <si>
    <t>г. Кола, пр. Защитников Заполярья, д. 38</t>
  </si>
  <si>
    <t>г. Кола, пр. Защитников Заполярья, д. 5б</t>
  </si>
  <si>
    <t>с. Ловозеро, ул. Данилова, д. 21</t>
  </si>
  <si>
    <t>н.п. Енский, ул. Строителей, д. 2</t>
  </si>
  <si>
    <t>г. Мончегорск, ул. Комсомольская, д. 50</t>
  </si>
  <si>
    <t>г. Мурманск, ул. Академика Книповича, 
 д. 15</t>
  </si>
  <si>
    <t>г. Мурманск, ул. Академика Книповича, 
 д. 35 к. 1</t>
  </si>
  <si>
    <t>г. Мурманск, ул. Академика Книповича,
 д. 39 к. 3</t>
  </si>
  <si>
    <t>г. Мурманск, пр. Г.Североморцев, д. 21</t>
  </si>
  <si>
    <t>г. Мурманск, пр. Г.Североморцев, д. 23 корп. 2</t>
  </si>
  <si>
    <t>г. Мурманск, пр. Г.Североморцев, д. 25</t>
  </si>
  <si>
    <t>г. Мурманск, пр. Г.Североморцев, д. 27</t>
  </si>
  <si>
    <t>г. Мурманск, пр. Г.Североморцев, д. 29</t>
  </si>
  <si>
    <t>г. Мурманск, пр. Г.Североморцев, д. 48</t>
  </si>
  <si>
    <t>г. Мурманск, ул. Капитана Пономарева,
 д. 14</t>
  </si>
  <si>
    <t>г. Мурманск, ул. Ленинградская, д. 29/5</t>
  </si>
  <si>
    <t>г. Мурманск, ул. Карла Либкнехта, д. 9</t>
  </si>
  <si>
    <t>г. Мурманск, ул. Карла Либкнехта, д. 11</t>
  </si>
  <si>
    <t>г. Мурманск, ул. Карла Либкнехта, д. 15</t>
  </si>
  <si>
    <t>г. Мурманск, ул. Карла Либкнехта, д. 17</t>
  </si>
  <si>
    <t>г. Мурманск, ул. Карла Либкнехта, д. 19/15</t>
  </si>
  <si>
    <t>г. Мурманск, ул. Карла Либкнехта, д. 23</t>
  </si>
  <si>
    <t>г. Мурманск, ул. Карла Либкнехта, д. 25</t>
  </si>
  <si>
    <t>г. Мурманск, ул. Карла Либкнехта, д. 40</t>
  </si>
  <si>
    <t>г. Мурманск, ул. Магомета Гаджиева, д. 2/47</t>
  </si>
  <si>
    <t>г. Мурманск, ул. Магомета Гаджиева,  д. 4</t>
  </si>
  <si>
    <t>г. Мурманск, ул. Магомета Гаджиева, д. 14</t>
  </si>
  <si>
    <t>г. Мурманск, ул. Михаила Ивченко, д. 3</t>
  </si>
  <si>
    <t>г. Мурманск, ул. Михаила Ивченко, д. 9</t>
  </si>
  <si>
    <t>г. Мурманск, ул. Челюскинцев, д. 18/20</t>
  </si>
  <si>
    <t>г. Полярные Зори, ул. Ломоносова, д. 21</t>
  </si>
  <si>
    <t>г. Заозерск, ул. Ленинского Комсомола, 
д. 14</t>
  </si>
  <si>
    <t>г. Заозерск, ул. Ленинского Комсомола,
 д. 20</t>
  </si>
  <si>
    <t>г. Заозерск, ул. Ленинского Комсомола, 
д. 24</t>
  </si>
  <si>
    <t>г. Заозерск, ул. Ленинского Комсомола, 
д. 30</t>
  </si>
  <si>
    <t>г. Заозерск, ул. Ленинского Комсомола, 
д. 32</t>
  </si>
  <si>
    <t>г. Североморск, ул. Гвардейская, д. 31 А</t>
  </si>
  <si>
    <t>г. Североморск, ул. Гвардейская, д. 31 Б</t>
  </si>
  <si>
    <t>г. Североморск, ул. Гвардейская, д. 34А</t>
  </si>
  <si>
    <t>г. Североморск, ул. Гвардейская, д. 32 А</t>
  </si>
  <si>
    <t>нп Североморск-3, ул. Тимура Апакидзе,
 д. 4</t>
  </si>
  <si>
    <t>нп Североморск-3, ул. Тимура Апакидзе, 
д. 8</t>
  </si>
  <si>
    <t>г. Кандалакша, ул. 50 лет Октября, д. 3</t>
  </si>
  <si>
    <t>г. Кандалакша, ул. Комсомольская, д. 12</t>
  </si>
  <si>
    <t>пгт. Ревда, ул. Кузина, д. 7 корпус 1</t>
  </si>
  <si>
    <t>г. Мурманск, ул. Академика Книповича, 
д. 53</t>
  </si>
  <si>
    <t>н.п. Оленья Губа, ул. Строителей, д. 40</t>
  </si>
  <si>
    <t>Муниципальное образование Кандалакшский муниципальный район Мурманской области</t>
  </si>
  <si>
    <t>Муниципальное образование сельское поселение Алакуртти Кандалакшского муниципального района Мурманской области</t>
  </si>
  <si>
    <t xml:space="preserve">Муниципальное образование городское поселение Кандалакша Кандалакшского муниципального района Мурманской области (ОКТМО 47 608 101)
</t>
  </si>
  <si>
    <t>Итого по муниципальному образованию Кандалакшский муниципальный район на 2023 год:</t>
  </si>
  <si>
    <t>Муниципальное образование Кольский муниципальный район Мурманской области</t>
  </si>
  <si>
    <t xml:space="preserve">Муниципальное образование сельское поселение Териберка Кольского муниципального района (ОКТМО 47 605 405)
</t>
  </si>
  <si>
    <t xml:space="preserve">Муниципальное образование городское поселение город Кола Кольского муниципального района Мурманской области (ОКТМО 47 605 101)
</t>
  </si>
  <si>
    <t xml:space="preserve">Муниципальное образование сельское поселение Междуречье Кольского муниципального района Мурманской области (ОКТМО 47 605 101)
</t>
  </si>
  <si>
    <t xml:space="preserve">Муниципальное образование городское поселение Молочный Кольского муниципального района Мурманской области (ОКТМО 47 605 161)
</t>
  </si>
  <si>
    <t xml:space="preserve">Муниципальное образование городское поселение Мурмаши Кольского муниципального района Мурманской области (ОКТМО 47 605 163)
</t>
  </si>
  <si>
    <t xml:space="preserve">Муниципальное образование сельское поселение Тулома Кольского муниципального района Мурманской области (ОКТМО 47 605 406)
</t>
  </si>
  <si>
    <t>Итого по муниципальному образованию Кольский муниципальный район на 2023 год:</t>
  </si>
  <si>
    <t>Муниципальное образование Ловозерский муниципальный район Мурманской области</t>
  </si>
  <si>
    <t xml:space="preserve">Муниципальное образование городское поселение Ревда Ловозерского муниципального района Мурманской области (ОКТМО 47 610 154)
</t>
  </si>
  <si>
    <t xml:space="preserve">Муниципальное образование сельское поселение Ловозеро Ловозерского муниципального района Мурманской области (ОКТМО 47 610 401)
</t>
  </si>
  <si>
    <t>Итого по муниципальному образованию Ловозерский муниципальный район на 2023 год:</t>
  </si>
  <si>
    <t>Муниципальное образование Терский муниципальный район Мурманской области</t>
  </si>
  <si>
    <t xml:space="preserve">Муниципальное образование городское поселение Умба Терского муниципального района Мурманской области (ОКТМО 47 620 151)
</t>
  </si>
  <si>
    <t>Итого по муниципальному образованию Терский муниципальный район на 2023 год:</t>
  </si>
  <si>
    <t>Муниципальное образование городское поселение Кандалакша Кандалакшского муниципального района Мурманской области (ОКТМО 47 608 101)</t>
  </si>
  <si>
    <t>Итого по муниципальному образованию Кандалакшский муниципальный район на 2024 год:</t>
  </si>
  <si>
    <t xml:space="preserve">Муниципальное образование городское поселение Кильдинстрой Кольского муниципального района Мурманской области (ОКТМО 47 605 158)
</t>
  </si>
  <si>
    <t>Итого по муниципальному образованию Кольский муниципальный район на 2024 год:</t>
  </si>
  <si>
    <t xml:space="preserve">Муниципальное образование сельское поселение Ловозеро Ловозерского муниципального района Мурманской области (ОКТМО 47 610 401) </t>
  </si>
  <si>
    <t>Итого по муниципальному образованию Ловозерский муниципальный район на 2024 год:</t>
  </si>
  <si>
    <t>Итого по муниципальному образованию Терский муниципальный район на 2024 год:</t>
  </si>
  <si>
    <t>Итого по муниципальному образованию Кандалакшский муниципальный район на 2025 год:</t>
  </si>
  <si>
    <t>Итого по муниципальному образованию Кольский муниципальный район на 2025 год:</t>
  </si>
  <si>
    <t>Итого по муниципальному образованию Ловозерский муниципальный район на 2025 год:</t>
  </si>
  <si>
    <t>Итого по муниципальному образованию Терский муниципальный район на 2025 год:</t>
  </si>
  <si>
    <t>г. Кировск, ул. Олимпийская, д. 53А</t>
  </si>
  <si>
    <t>2025 кр, фас</t>
  </si>
  <si>
    <t>г. Мурманск (Росляково), 
ул. Молодежная, д. 10</t>
  </si>
  <si>
    <t>г. Мурманск (Росляково), 
ул. Молодежная, д. 16</t>
  </si>
  <si>
    <t>г. Мурманск, ул. Полярные Зори, д. 35 корп. 2</t>
  </si>
  <si>
    <t>г. Мурманск, ул. Сполохи, д. 7</t>
  </si>
  <si>
    <t>2025 фасад, крыша</t>
  </si>
  <si>
    <t>пгт. Умба, ул. Советская, д. 4</t>
  </si>
</sst>
</file>

<file path=xl/styles.xml><?xml version="1.0" encoding="utf-8"?>
<styleSheet xmlns="http://schemas.openxmlformats.org/spreadsheetml/2006/main">
  <numFmts count="9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  <numFmt numFmtId="166" formatCode="#,##0.00_ ;\-#,##0.00\ "/>
    <numFmt numFmtId="167" formatCode="#,##0.00\ _₽"/>
    <numFmt numFmtId="168" formatCode="_-* #,##0.00\ _₽_-;\-* #,##0.00\ _₽_-;_-* \-??\ _₽_-;_-@_-"/>
    <numFmt numFmtId="169" formatCode="#,##0_ ;\-#,##0\ "/>
    <numFmt numFmtId="170" formatCode="#,##0\ _₽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scheme val="minor"/>
    </font>
    <font>
      <vertAlign val="superscript"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7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0" fillId="0" borderId="0" applyFont="0" applyFill="0" applyBorder="0" applyAlignment="0" applyProtection="0"/>
    <xf numFmtId="0" fontId="25" fillId="0" borderId="0" applyNumberFormat="0" applyBorder="0" applyProtection="0">
      <alignment horizontal="left" vertical="center" wrapText="1"/>
    </xf>
    <xf numFmtId="164" fontId="25" fillId="0" borderId="0" applyFont="0" applyFill="0" applyBorder="0" applyAlignment="0" applyProtection="0">
      <alignment horizontal="left" vertical="center" wrapText="1"/>
    </xf>
    <xf numFmtId="0" fontId="25" fillId="0" borderId="0" applyNumberFormat="0" applyBorder="0" applyProtection="0">
      <alignment horizontal="left" vertical="center" wrapText="1"/>
    </xf>
    <xf numFmtId="0" fontId="13" fillId="0" borderId="0"/>
    <xf numFmtId="0" fontId="11" fillId="0" borderId="0"/>
  </cellStyleXfs>
  <cellXfs count="942">
    <xf numFmtId="0" fontId="0" fillId="0" borderId="0" xfId="0"/>
    <xf numFmtId="43" fontId="18" fillId="0" borderId="1" xfId="1" applyFont="1" applyFill="1" applyBorder="1" applyAlignment="1">
      <alignment horizontal="left" vertical="center" wrapText="1"/>
    </xf>
    <xf numFmtId="43" fontId="23" fillId="0" borderId="1" xfId="1" applyFont="1" applyFill="1" applyBorder="1" applyAlignment="1">
      <alignment horizontal="left" vertical="center" wrapText="1"/>
    </xf>
    <xf numFmtId="164" fontId="26" fillId="0" borderId="1" xfId="3" applyFont="1" applyFill="1" applyBorder="1" applyAlignment="1">
      <alignment horizontal="right" vertical="center" wrapText="1"/>
    </xf>
    <xf numFmtId="43" fontId="18" fillId="0" borderId="1" xfId="1" applyFont="1" applyFill="1" applyBorder="1" applyAlignment="1">
      <alignment horizontal="center" vertical="center" wrapText="1"/>
    </xf>
    <xf numFmtId="164" fontId="26" fillId="0" borderId="1" xfId="3" applyFont="1" applyFill="1" applyBorder="1" applyAlignment="1">
      <alignment vertical="center" wrapText="1"/>
    </xf>
    <xf numFmtId="43" fontId="27" fillId="0" borderId="1" xfId="1" applyFont="1" applyFill="1" applyBorder="1" applyAlignment="1">
      <alignment horizontal="center" vertical="center" wrapText="1"/>
    </xf>
    <xf numFmtId="164" fontId="26" fillId="0" borderId="7" xfId="3" applyFont="1" applyFill="1" applyBorder="1" applyAlignment="1">
      <alignment horizontal="right" vertical="center" wrapText="1"/>
    </xf>
    <xf numFmtId="164" fontId="26" fillId="0" borderId="4" xfId="3" applyFont="1" applyFill="1" applyBorder="1" applyAlignment="1">
      <alignment horizontal="right" vertical="center" wrapText="1"/>
    </xf>
    <xf numFmtId="43" fontId="18" fillId="0" borderId="1" xfId="1" applyFont="1" applyFill="1" applyBorder="1" applyAlignment="1">
      <alignment vertical="center" wrapText="1"/>
    </xf>
    <xf numFmtId="43" fontId="26" fillId="0" borderId="1" xfId="1" applyFont="1" applyFill="1" applyBorder="1" applyAlignment="1">
      <alignment vertical="center"/>
    </xf>
    <xf numFmtId="43" fontId="26" fillId="0" borderId="1" xfId="1" applyFont="1" applyFill="1" applyBorder="1" applyAlignment="1">
      <alignment vertical="center" wrapText="1"/>
    </xf>
    <xf numFmtId="43" fontId="18" fillId="0" borderId="2" xfId="1" applyFont="1" applyFill="1" applyBorder="1" applyAlignment="1">
      <alignment vertical="center" wrapText="1"/>
    </xf>
    <xf numFmtId="43" fontId="23" fillId="0" borderId="1" xfId="1" applyFont="1" applyFill="1" applyBorder="1" applyAlignment="1">
      <alignment vertical="center"/>
    </xf>
    <xf numFmtId="164" fontId="26" fillId="0" borderId="0" xfId="3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43" fontId="2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" xfId="0" applyFont="1" applyFill="1" applyBorder="1" applyAlignment="1">
      <alignment horizontal="center" vertical="center" wrapText="1"/>
    </xf>
    <xf numFmtId="43" fontId="18" fillId="0" borderId="2" xfId="1" applyFont="1" applyFill="1" applyBorder="1" applyAlignment="1">
      <alignment horizontal="center" vertical="center" wrapText="1"/>
    </xf>
    <xf numFmtId="0" fontId="26" fillId="0" borderId="1" xfId="2" applyFont="1" applyFill="1" applyBorder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8" fillId="0" borderId="1" xfId="0" applyNumberFormat="1" applyFont="1" applyFill="1" applyBorder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/>
    <xf numFmtId="164" fontId="26" fillId="0" borderId="19" xfId="3" applyFont="1" applyFill="1" applyBorder="1" applyAlignment="1">
      <alignment horizontal="right" vertical="center" wrapText="1"/>
    </xf>
    <xf numFmtId="43" fontId="0" fillId="0" borderId="0" xfId="1" applyFont="1" applyFill="1"/>
    <xf numFmtId="0" fontId="18" fillId="0" borderId="1" xfId="0" applyFont="1" applyFill="1" applyBorder="1" applyAlignment="1">
      <alignment horizontal="center" vertical="center" textRotation="90" wrapText="1"/>
    </xf>
    <xf numFmtId="43" fontId="18" fillId="0" borderId="2" xfId="1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43" fontId="19" fillId="0" borderId="2" xfId="1" applyFont="1" applyFill="1" applyBorder="1" applyAlignment="1">
      <alignment horizontal="center" vertical="center" wrapText="1"/>
    </xf>
    <xf numFmtId="0" fontId="27" fillId="0" borderId="1" xfId="1" applyNumberFormat="1" applyFont="1" applyFill="1" applyBorder="1" applyAlignment="1">
      <alignment horizontal="center" vertical="center" wrapText="1"/>
    </xf>
    <xf numFmtId="43" fontId="31" fillId="0" borderId="8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left" vertical="center"/>
    </xf>
    <xf numFmtId="43" fontId="14" fillId="0" borderId="1" xfId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3" fontId="26" fillId="0" borderId="1" xfId="0" applyNumberFormat="1" applyFont="1" applyFill="1" applyBorder="1" applyAlignment="1">
      <alignment vertical="center" wrapText="1"/>
    </xf>
    <xf numFmtId="43" fontId="35" fillId="0" borderId="2" xfId="1" applyFont="1" applyFill="1" applyBorder="1" applyAlignment="1">
      <alignment vertical="center" wrapText="1"/>
    </xf>
    <xf numFmtId="43" fontId="35" fillId="0" borderId="2" xfId="0" applyNumberFormat="1" applyFont="1" applyFill="1" applyBorder="1" applyAlignment="1">
      <alignment vertical="center" wrapText="1"/>
    </xf>
    <xf numFmtId="0" fontId="35" fillId="0" borderId="2" xfId="0" applyFont="1" applyFill="1" applyBorder="1" applyAlignment="1">
      <alignment vertical="center" wrapText="1"/>
    </xf>
    <xf numFmtId="43" fontId="35" fillId="0" borderId="1" xfId="1" applyFont="1" applyFill="1" applyBorder="1" applyAlignment="1">
      <alignment vertical="center" wrapText="1"/>
    </xf>
    <xf numFmtId="43" fontId="18" fillId="0" borderId="2" xfId="0" applyNumberFormat="1" applyFont="1" applyFill="1" applyBorder="1" applyAlignment="1">
      <alignment vertical="center" wrapText="1"/>
    </xf>
    <xf numFmtId="43" fontId="26" fillId="0" borderId="2" xfId="1" applyFont="1" applyFill="1" applyBorder="1" applyAlignment="1">
      <alignment vertical="center" wrapText="1"/>
    </xf>
    <xf numFmtId="0" fontId="26" fillId="0" borderId="1" xfId="4" applyFont="1" applyFill="1" applyBorder="1">
      <alignment horizontal="left" vertical="center" wrapText="1"/>
    </xf>
    <xf numFmtId="164" fontId="23" fillId="0" borderId="1" xfId="1" applyNumberFormat="1" applyFont="1" applyFill="1" applyBorder="1" applyAlignment="1">
      <alignment horizontal="center" vertical="center"/>
    </xf>
    <xf numFmtId="49" fontId="26" fillId="0" borderId="1" xfId="2" applyNumberFormat="1" applyFont="1" applyFill="1" applyBorder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65" fontId="27" fillId="0" borderId="1" xfId="1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4" fontId="18" fillId="0" borderId="1" xfId="4" applyNumberFormat="1" applyFont="1" applyFill="1" applyBorder="1">
      <alignment horizontal="left" vertical="center" wrapText="1"/>
    </xf>
    <xf numFmtId="0" fontId="26" fillId="0" borderId="1" xfId="2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4" fontId="26" fillId="0" borderId="1" xfId="2" applyNumberFormat="1" applyFont="1" applyFill="1" applyBorder="1" applyAlignment="1">
      <alignment horizontal="right" vertical="center"/>
    </xf>
    <xf numFmtId="0" fontId="26" fillId="0" borderId="1" xfId="2" applyFont="1" applyFill="1" applyBorder="1" applyAlignment="1">
      <alignment vertical="center"/>
    </xf>
    <xf numFmtId="0" fontId="26" fillId="0" borderId="9" xfId="2" applyFont="1" applyFill="1" applyBorder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2" xfId="2" applyFont="1" applyFill="1" applyBorder="1" applyAlignment="1">
      <alignment vertical="center"/>
    </xf>
    <xf numFmtId="166" fontId="26" fillId="0" borderId="1" xfId="2" applyNumberFormat="1" applyFont="1" applyFill="1" applyBorder="1" applyAlignment="1">
      <alignment vertical="center"/>
    </xf>
    <xf numFmtId="0" fontId="26" fillId="0" borderId="2" xfId="2" applyFont="1" applyFill="1" applyBorder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26" fillId="0" borderId="5" xfId="2" applyFont="1" applyFill="1" applyBorder="1">
      <alignment horizontal="left" vertical="center" wrapText="1"/>
    </xf>
    <xf numFmtId="0" fontId="32" fillId="0" borderId="1" xfId="2" applyFont="1" applyFill="1" applyBorder="1" applyAlignment="1">
      <alignment vertical="center"/>
    </xf>
    <xf numFmtId="43" fontId="18" fillId="0" borderId="1" xfId="0" applyNumberFormat="1" applyFont="1" applyFill="1" applyBorder="1" applyAlignment="1">
      <alignment horizontal="center" vertical="center" wrapText="1"/>
    </xf>
    <xf numFmtId="43" fontId="27" fillId="0" borderId="1" xfId="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vertical="center" wrapText="1"/>
    </xf>
    <xf numFmtId="43" fontId="23" fillId="0" borderId="1" xfId="1" applyFont="1" applyFill="1" applyBorder="1" applyAlignment="1">
      <alignment horizontal="center" vertical="center"/>
    </xf>
    <xf numFmtId="164" fontId="26" fillId="0" borderId="1" xfId="3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 wrapText="1"/>
    </xf>
    <xf numFmtId="0" fontId="33" fillId="0" borderId="0" xfId="0" applyFont="1" applyFill="1"/>
    <xf numFmtId="0" fontId="26" fillId="0" borderId="1" xfId="2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43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1" fontId="18" fillId="0" borderId="1" xfId="0" applyNumberFormat="1" applyFont="1" applyFill="1" applyBorder="1" applyAlignment="1">
      <alignment horizontal="center" vertical="center" wrapText="1"/>
    </xf>
    <xf numFmtId="43" fontId="18" fillId="0" borderId="0" xfId="0" applyNumberFormat="1" applyFont="1" applyFill="1" applyAlignment="1">
      <alignment vertical="center" wrapText="1"/>
    </xf>
    <xf numFmtId="43" fontId="36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8" fillId="0" borderId="0" xfId="0" applyFont="1" applyFill="1"/>
    <xf numFmtId="0" fontId="18" fillId="0" borderId="4" xfId="0" applyFont="1" applyFill="1" applyBorder="1" applyAlignment="1">
      <alignment horizontal="left" vertical="center" wrapText="1"/>
    </xf>
    <xf numFmtId="167" fontId="18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167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164" fontId="26" fillId="0" borderId="5" xfId="3" applyFont="1" applyFill="1" applyBorder="1" applyAlignment="1">
      <alignment horizontal="right" vertical="center" wrapText="1"/>
    </xf>
    <xf numFmtId="43" fontId="18" fillId="0" borderId="5" xfId="1" applyFont="1" applyFill="1" applyBorder="1" applyAlignment="1">
      <alignment vertical="center" wrapText="1"/>
    </xf>
    <xf numFmtId="167" fontId="18" fillId="0" borderId="2" xfId="1" applyNumberFormat="1" applyFont="1" applyFill="1" applyBorder="1" applyAlignment="1">
      <alignment vertical="center" wrapText="1"/>
    </xf>
    <xf numFmtId="164" fontId="26" fillId="0" borderId="20" xfId="3" applyFont="1" applyFill="1" applyBorder="1" applyAlignment="1">
      <alignment horizontal="right" vertical="center" wrapText="1"/>
    </xf>
    <xf numFmtId="167" fontId="18" fillId="0" borderId="2" xfId="0" applyNumberFormat="1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43" fontId="18" fillId="0" borderId="21" xfId="1" applyFont="1" applyFill="1" applyBorder="1" applyAlignment="1">
      <alignment vertical="center" wrapText="1"/>
    </xf>
    <xf numFmtId="43" fontId="18" fillId="0" borderId="22" xfId="1" applyFont="1" applyFill="1" applyBorder="1" applyAlignment="1">
      <alignment vertical="center" wrapText="1"/>
    </xf>
    <xf numFmtId="43" fontId="23" fillId="0" borderId="21" xfId="1" applyFont="1" applyFill="1" applyBorder="1" applyAlignment="1">
      <alignment vertical="center"/>
    </xf>
    <xf numFmtId="43" fontId="18" fillId="0" borderId="21" xfId="0" applyNumberFormat="1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vertical="center" wrapText="1"/>
    </xf>
    <xf numFmtId="43" fontId="18" fillId="0" borderId="0" xfId="1" applyFont="1" applyFill="1" applyBorder="1" applyAlignment="1">
      <alignment vertical="center" wrapText="1"/>
    </xf>
    <xf numFmtId="43" fontId="18" fillId="0" borderId="21" xfId="1" applyFont="1" applyFill="1" applyBorder="1" applyAlignment="1">
      <alignment horizontal="center" vertical="center" wrapText="1"/>
    </xf>
    <xf numFmtId="164" fontId="26" fillId="0" borderId="21" xfId="3" applyFont="1" applyFill="1" applyBorder="1" applyAlignment="1">
      <alignment horizontal="right" vertical="center" wrapText="1"/>
    </xf>
    <xf numFmtId="43" fontId="18" fillId="0" borderId="22" xfId="0" applyNumberFormat="1" applyFont="1" applyFill="1" applyBorder="1" applyAlignment="1">
      <alignment vertical="center" wrapText="1"/>
    </xf>
    <xf numFmtId="0" fontId="26" fillId="0" borderId="3" xfId="4" applyFont="1" applyFill="1" applyBorder="1">
      <alignment horizontal="left" vertical="center" wrapText="1"/>
    </xf>
    <xf numFmtId="0" fontId="14" fillId="0" borderId="21" xfId="0" applyFont="1" applyFill="1" applyBorder="1" applyAlignment="1">
      <alignment vertical="center" wrapText="1"/>
    </xf>
    <xf numFmtId="4" fontId="18" fillId="0" borderId="21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43" fontId="18" fillId="0" borderId="22" xfId="1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right" vertical="center" wrapText="1"/>
    </xf>
    <xf numFmtId="43" fontId="18" fillId="0" borderId="21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3" fontId="18" fillId="0" borderId="1" xfId="1" applyNumberFormat="1" applyFont="1" applyFill="1" applyBorder="1" applyAlignment="1">
      <alignment horizontal="center" vertical="center" wrapText="1"/>
    </xf>
    <xf numFmtId="43" fontId="18" fillId="0" borderId="22" xfId="0" applyNumberFormat="1" applyFont="1" applyFill="1" applyBorder="1" applyAlignment="1">
      <alignment horizontal="center" vertical="center" wrapText="1"/>
    </xf>
    <xf numFmtId="43" fontId="23" fillId="0" borderId="1" xfId="0" applyNumberFormat="1" applyFont="1" applyFill="1" applyBorder="1" applyAlignment="1">
      <alignment horizontal="center" vertical="center"/>
    </xf>
    <xf numFmtId="43" fontId="26" fillId="0" borderId="21" xfId="1" applyFont="1" applyFill="1" applyBorder="1" applyAlignment="1">
      <alignment vertical="center" wrapText="1"/>
    </xf>
    <xf numFmtId="167" fontId="18" fillId="0" borderId="21" xfId="0" applyNumberFormat="1" applyFont="1" applyFill="1" applyBorder="1" applyAlignment="1">
      <alignment horizontal="center" vertical="center" wrapText="1"/>
    </xf>
    <xf numFmtId="4" fontId="18" fillId="0" borderId="21" xfId="0" applyNumberFormat="1" applyFont="1" applyFill="1" applyBorder="1" applyAlignment="1">
      <alignment horizontal="right" vertical="center"/>
    </xf>
    <xf numFmtId="167" fontId="18" fillId="0" borderId="22" xfId="1" applyNumberFormat="1" applyFont="1" applyFill="1" applyBorder="1" applyAlignment="1">
      <alignment vertical="center" wrapText="1"/>
    </xf>
    <xf numFmtId="0" fontId="18" fillId="0" borderId="22" xfId="0" applyFont="1" applyFill="1" applyBorder="1"/>
    <xf numFmtId="4" fontId="26" fillId="0" borderId="21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164" fontId="26" fillId="0" borderId="23" xfId="3" applyFont="1" applyFill="1" applyBorder="1" applyAlignment="1">
      <alignment horizontal="right" vertical="center" wrapText="1"/>
    </xf>
    <xf numFmtId="43" fontId="26" fillId="0" borderId="21" xfId="1" applyFont="1" applyFill="1" applyBorder="1" applyAlignment="1">
      <alignment vertical="center"/>
    </xf>
    <xf numFmtId="39" fontId="27" fillId="0" borderId="1" xfId="0" applyNumberFormat="1" applyFont="1" applyFill="1" applyBorder="1" applyAlignment="1">
      <alignment horizontal="center" vertical="center" wrapText="1"/>
    </xf>
    <xf numFmtId="43" fontId="27" fillId="0" borderId="21" xfId="1" applyFont="1" applyFill="1" applyBorder="1" applyAlignment="1">
      <alignment horizontal="center" vertical="center" wrapText="1"/>
    </xf>
    <xf numFmtId="43" fontId="27" fillId="0" borderId="21" xfId="0" applyNumberFormat="1" applyFont="1" applyFill="1" applyBorder="1" applyAlignment="1">
      <alignment horizontal="center" vertical="center" wrapText="1"/>
    </xf>
    <xf numFmtId="43" fontId="35" fillId="0" borderId="21" xfId="1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43" fontId="23" fillId="0" borderId="27" xfId="1" applyFont="1" applyFill="1" applyBorder="1" applyAlignment="1">
      <alignment vertical="center"/>
    </xf>
    <xf numFmtId="43" fontId="37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43" fontId="21" fillId="0" borderId="0" xfId="0" applyNumberFormat="1" applyFont="1" applyFill="1" applyAlignment="1">
      <alignment vertical="center" wrapText="1"/>
    </xf>
    <xf numFmtId="0" fontId="28" fillId="0" borderId="0" xfId="0" applyFont="1" applyFill="1"/>
    <xf numFmtId="0" fontId="35" fillId="0" borderId="0" xfId="0" applyFont="1" applyFill="1" applyAlignment="1">
      <alignment vertical="center" wrapText="1"/>
    </xf>
    <xf numFmtId="0" fontId="26" fillId="0" borderId="21" xfId="0" applyFont="1" applyFill="1" applyBorder="1" applyAlignment="1">
      <alignment horizontal="left" vertical="center" wrapText="1"/>
    </xf>
    <xf numFmtId="0" fontId="26" fillId="0" borderId="21" xfId="2" applyFont="1" applyFill="1" applyBorder="1" applyAlignment="1">
      <alignment vertical="center" wrapText="1"/>
    </xf>
    <xf numFmtId="0" fontId="26" fillId="0" borderId="21" xfId="2" applyFont="1" applyFill="1" applyBorder="1" applyAlignment="1">
      <alignment horizontal="left" vertical="center"/>
    </xf>
    <xf numFmtId="43" fontId="27" fillId="0" borderId="21" xfId="0" applyNumberFormat="1" applyFont="1" applyFill="1" applyBorder="1" applyAlignment="1">
      <alignment vertical="center" wrapText="1"/>
    </xf>
    <xf numFmtId="167" fontId="18" fillId="0" borderId="30" xfId="1" applyNumberFormat="1" applyFont="1" applyFill="1" applyBorder="1" applyAlignment="1">
      <alignment vertical="center" wrapText="1"/>
    </xf>
    <xf numFmtId="43" fontId="18" fillId="0" borderId="30" xfId="1" applyFont="1" applyFill="1" applyBorder="1" applyAlignment="1">
      <alignment vertical="center" wrapText="1"/>
    </xf>
    <xf numFmtId="4" fontId="18" fillId="0" borderId="0" xfId="0" applyNumberFormat="1" applyFont="1" applyFill="1"/>
    <xf numFmtId="0" fontId="18" fillId="0" borderId="30" xfId="0" applyFont="1" applyFill="1" applyBorder="1" applyAlignment="1">
      <alignment vertical="center" wrapText="1"/>
    </xf>
    <xf numFmtId="4" fontId="26" fillId="0" borderId="5" xfId="3" applyNumberFormat="1" applyFont="1" applyFill="1" applyBorder="1" applyAlignment="1">
      <alignment horizontal="right" vertical="center" wrapText="1"/>
    </xf>
    <xf numFmtId="43" fontId="18" fillId="0" borderId="31" xfId="0" applyNumberFormat="1" applyFont="1" applyFill="1" applyBorder="1" applyAlignment="1">
      <alignment vertical="center" wrapText="1"/>
    </xf>
    <xf numFmtId="43" fontId="18" fillId="0" borderId="31" xfId="1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43" fontId="23" fillId="0" borderId="31" xfId="1" applyFont="1" applyFill="1" applyBorder="1" applyAlignment="1">
      <alignment vertical="center"/>
    </xf>
    <xf numFmtId="0" fontId="18" fillId="0" borderId="31" xfId="0" applyFont="1" applyFill="1" applyBorder="1" applyAlignment="1">
      <alignment horizontal="center" vertical="center" wrapText="1"/>
    </xf>
    <xf numFmtId="164" fontId="26" fillId="0" borderId="31" xfId="3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 wrapText="1"/>
    </xf>
    <xf numFmtId="43" fontId="26" fillId="0" borderId="30" xfId="1" applyFont="1" applyFill="1" applyBorder="1" applyAlignment="1">
      <alignment vertical="center" wrapText="1"/>
    </xf>
    <xf numFmtId="43" fontId="26" fillId="0" borderId="31" xfId="1" applyFont="1" applyFill="1" applyBorder="1" applyAlignment="1">
      <alignment vertical="center" wrapText="1"/>
    </xf>
    <xf numFmtId="43" fontId="26" fillId="0" borderId="31" xfId="1" applyFont="1" applyFill="1" applyBorder="1" applyAlignment="1">
      <alignment vertical="center"/>
    </xf>
    <xf numFmtId="4" fontId="23" fillId="0" borderId="0" xfId="0" applyNumberFormat="1" applyFont="1" applyFill="1" applyAlignment="1">
      <alignment vertical="center"/>
    </xf>
    <xf numFmtId="4" fontId="18" fillId="0" borderId="31" xfId="0" applyNumberFormat="1" applyFont="1" applyFill="1" applyBorder="1" applyAlignment="1">
      <alignment horizontal="right" vertical="center"/>
    </xf>
    <xf numFmtId="167" fontId="18" fillId="0" borderId="31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167" fontId="26" fillId="0" borderId="31" xfId="0" applyNumberFormat="1" applyFont="1" applyFill="1" applyBorder="1" applyAlignment="1">
      <alignment horizontal="right" vertical="center" wrapText="1"/>
    </xf>
    <xf numFmtId="4" fontId="26" fillId="0" borderId="31" xfId="0" applyNumberFormat="1" applyFont="1" applyFill="1" applyBorder="1" applyAlignment="1">
      <alignment horizontal="right" vertical="center" wrapText="1"/>
    </xf>
    <xf numFmtId="0" fontId="26" fillId="0" borderId="31" xfId="0" applyFont="1" applyFill="1" applyBorder="1" applyAlignment="1">
      <alignment horizontal="left" vertical="center" wrapText="1"/>
    </xf>
    <xf numFmtId="167" fontId="18" fillId="0" borderId="32" xfId="1" applyNumberFormat="1" applyFont="1" applyFill="1" applyBorder="1" applyAlignment="1">
      <alignment horizontal="right" vertical="center" wrapText="1"/>
    </xf>
    <xf numFmtId="0" fontId="10" fillId="0" borderId="32" xfId="0" applyFont="1" applyFill="1" applyBorder="1" applyAlignment="1">
      <alignment vertical="center" wrapText="1"/>
    </xf>
    <xf numFmtId="167" fontId="18" fillId="0" borderId="32" xfId="0" applyNumberFormat="1" applyFont="1" applyFill="1" applyBorder="1" applyAlignment="1">
      <alignment vertical="center" wrapText="1"/>
    </xf>
    <xf numFmtId="43" fontId="18" fillId="0" borderId="34" xfId="1" applyFont="1" applyFill="1" applyBorder="1" applyAlignment="1">
      <alignment horizontal="center" vertical="center" wrapText="1"/>
    </xf>
    <xf numFmtId="43" fontId="18" fillId="0" borderId="34" xfId="1" applyFont="1" applyFill="1" applyBorder="1" applyAlignment="1">
      <alignment vertical="center" wrapText="1"/>
    </xf>
    <xf numFmtId="43" fontId="18" fillId="0" borderId="35" xfId="1" applyFont="1" applyFill="1" applyBorder="1" applyAlignment="1">
      <alignment vertical="center" wrapText="1"/>
    </xf>
    <xf numFmtId="43" fontId="23" fillId="0" borderId="34" xfId="1" applyFont="1" applyFill="1" applyBorder="1" applyAlignment="1">
      <alignment vertical="center"/>
    </xf>
    <xf numFmtId="0" fontId="18" fillId="0" borderId="34" xfId="0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164" fontId="26" fillId="0" borderId="34" xfId="3" applyFont="1" applyFill="1" applyBorder="1" applyAlignment="1">
      <alignment horizontal="right" vertical="center" wrapText="1"/>
    </xf>
    <xf numFmtId="43" fontId="18" fillId="0" borderId="34" xfId="0" applyNumberFormat="1" applyFont="1" applyFill="1" applyBorder="1" applyAlignment="1">
      <alignment vertical="center" wrapText="1"/>
    </xf>
    <xf numFmtId="0" fontId="18" fillId="0" borderId="34" xfId="0" applyFont="1" applyFill="1" applyBorder="1" applyAlignment="1">
      <alignment horizontal="center" vertical="center" wrapText="1"/>
    </xf>
    <xf numFmtId="43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2" fillId="0" borderId="0" xfId="0" applyFont="1" applyFill="1" applyAlignment="1"/>
    <xf numFmtId="0" fontId="0" fillId="0" borderId="0" xfId="0" applyFill="1" applyBorder="1"/>
    <xf numFmtId="0" fontId="26" fillId="0" borderId="34" xfId="2" applyFont="1" applyFill="1" applyBorder="1">
      <alignment horizontal="left" vertical="center" wrapText="1"/>
    </xf>
    <xf numFmtId="0" fontId="18" fillId="0" borderId="35" xfId="0" applyFont="1" applyFill="1" applyBorder="1" applyAlignment="1">
      <alignment horizontal="center" vertical="center" wrapText="1"/>
    </xf>
    <xf numFmtId="43" fontId="18" fillId="0" borderId="34" xfId="0" applyNumberFormat="1" applyFont="1" applyFill="1" applyBorder="1" applyAlignment="1">
      <alignment horizontal="center" vertical="center" wrapText="1"/>
    </xf>
    <xf numFmtId="43" fontId="18" fillId="0" borderId="34" xfId="0" applyNumberFormat="1" applyFont="1" applyFill="1" applyBorder="1" applyAlignment="1">
      <alignment horizontal="right" vertical="center" wrapText="1"/>
    </xf>
    <xf numFmtId="0" fontId="24" fillId="0" borderId="34" xfId="0" applyFont="1" applyFill="1" applyBorder="1" applyAlignment="1">
      <alignment horizontal="center" vertical="center" wrapText="1"/>
    </xf>
    <xf numFmtId="4" fontId="39" fillId="0" borderId="34" xfId="0" applyNumberFormat="1" applyFont="1" applyFill="1" applyBorder="1" applyAlignment="1">
      <alignment horizontal="right" vertical="center"/>
    </xf>
    <xf numFmtId="0" fontId="26" fillId="0" borderId="33" xfId="4" applyFont="1" applyFill="1" applyBorder="1">
      <alignment horizontal="left" vertical="center" wrapText="1"/>
    </xf>
    <xf numFmtId="43" fontId="23" fillId="0" borderId="1" xfId="1" applyFont="1" applyFill="1" applyBorder="1" applyAlignment="1">
      <alignment horizontal="right" vertical="center"/>
    </xf>
    <xf numFmtId="0" fontId="26" fillId="0" borderId="36" xfId="4" applyFont="1" applyFill="1" applyBorder="1">
      <alignment horizontal="left" vertical="center" wrapText="1"/>
    </xf>
    <xf numFmtId="0" fontId="26" fillId="0" borderId="37" xfId="4" applyFont="1" applyFill="1" applyBorder="1">
      <alignment horizontal="left" vertical="center" wrapText="1"/>
    </xf>
    <xf numFmtId="0" fontId="18" fillId="0" borderId="2" xfId="0" applyFont="1" applyFill="1" applyBorder="1" applyAlignment="1">
      <alignment horizontal="right" vertical="center" wrapText="1"/>
    </xf>
    <xf numFmtId="4" fontId="26" fillId="0" borderId="38" xfId="0" applyNumberFormat="1" applyFont="1" applyFill="1" applyBorder="1" applyAlignment="1">
      <alignment horizontal="center" vertical="center"/>
    </xf>
    <xf numFmtId="4" fontId="26" fillId="0" borderId="39" xfId="0" applyNumberFormat="1" applyFont="1" applyFill="1" applyBorder="1" applyAlignment="1">
      <alignment horizontal="center" vertical="center"/>
    </xf>
    <xf numFmtId="167" fontId="18" fillId="0" borderId="35" xfId="1" applyNumberFormat="1" applyFont="1" applyFill="1" applyBorder="1" applyAlignment="1">
      <alignment vertical="center" wrapText="1"/>
    </xf>
    <xf numFmtId="167" fontId="18" fillId="0" borderId="35" xfId="0" applyNumberFormat="1" applyFont="1" applyFill="1" applyBorder="1" applyAlignment="1">
      <alignment vertical="center" wrapText="1"/>
    </xf>
    <xf numFmtId="164" fontId="26" fillId="0" borderId="40" xfId="3" applyFont="1" applyFill="1" applyBorder="1" applyAlignment="1">
      <alignment horizontal="right" vertical="center" wrapText="1"/>
    </xf>
    <xf numFmtId="0" fontId="18" fillId="0" borderId="40" xfId="0" applyFont="1" applyFill="1" applyBorder="1" applyAlignment="1">
      <alignment vertical="center" wrapText="1"/>
    </xf>
    <xf numFmtId="43" fontId="18" fillId="0" borderId="40" xfId="0" applyNumberFormat="1" applyFont="1" applyFill="1" applyBorder="1" applyAlignment="1">
      <alignment vertical="center" wrapText="1"/>
    </xf>
    <xf numFmtId="0" fontId="18" fillId="0" borderId="40" xfId="0" applyFont="1" applyFill="1" applyBorder="1" applyAlignment="1">
      <alignment horizontal="center" vertical="center" wrapText="1"/>
    </xf>
    <xf numFmtId="43" fontId="18" fillId="0" borderId="40" xfId="1" applyFont="1" applyFill="1" applyBorder="1" applyAlignment="1">
      <alignment horizontal="center" vertical="center" wrapText="1"/>
    </xf>
    <xf numFmtId="43" fontId="18" fillId="0" borderId="40" xfId="1" applyFont="1" applyFill="1" applyBorder="1" applyAlignment="1">
      <alignment vertical="center" wrapText="1"/>
    </xf>
    <xf numFmtId="43" fontId="18" fillId="0" borderId="41" xfId="1" applyFont="1" applyFill="1" applyBorder="1" applyAlignment="1">
      <alignment vertical="center" wrapText="1"/>
    </xf>
    <xf numFmtId="43" fontId="23" fillId="0" borderId="40" xfId="1" applyFont="1" applyFill="1" applyBorder="1" applyAlignment="1">
      <alignment vertical="center"/>
    </xf>
    <xf numFmtId="0" fontId="18" fillId="0" borderId="40" xfId="0" applyFont="1" applyFill="1" applyBorder="1"/>
    <xf numFmtId="49" fontId="18" fillId="0" borderId="40" xfId="0" applyNumberFormat="1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vertical="center" wrapText="1"/>
    </xf>
    <xf numFmtId="4" fontId="26" fillId="0" borderId="40" xfId="0" applyNumberFormat="1" applyFont="1" applyFill="1" applyBorder="1" applyAlignment="1">
      <alignment horizontal="right" vertical="center" wrapText="1"/>
    </xf>
    <xf numFmtId="0" fontId="18" fillId="0" borderId="41" xfId="0" applyFont="1" applyFill="1" applyBorder="1"/>
    <xf numFmtId="4" fontId="18" fillId="0" borderId="40" xfId="0" applyNumberFormat="1" applyFont="1" applyFill="1" applyBorder="1" applyAlignment="1">
      <alignment horizontal="right" vertical="center"/>
    </xf>
    <xf numFmtId="164" fontId="26" fillId="0" borderId="42" xfId="3" applyFont="1" applyFill="1" applyBorder="1" applyAlignment="1">
      <alignment horizontal="right" vertical="center" wrapText="1"/>
    </xf>
    <xf numFmtId="164" fontId="26" fillId="0" borderId="43" xfId="3" applyFont="1" applyFill="1" applyBorder="1" applyAlignment="1">
      <alignment horizontal="right" vertical="center" wrapText="1"/>
    </xf>
    <xf numFmtId="43" fontId="18" fillId="0" borderId="44" xfId="1" applyFont="1" applyFill="1" applyBorder="1" applyAlignment="1">
      <alignment vertical="center" wrapText="1"/>
    </xf>
    <xf numFmtId="0" fontId="18" fillId="0" borderId="44" xfId="0" applyFont="1" applyFill="1" applyBorder="1" applyAlignment="1">
      <alignment vertical="center" wrapText="1"/>
    </xf>
    <xf numFmtId="43" fontId="18" fillId="0" borderId="45" xfId="1" applyFont="1" applyFill="1" applyBorder="1" applyAlignment="1">
      <alignment vertical="center" wrapText="1"/>
    </xf>
    <xf numFmtId="0" fontId="18" fillId="0" borderId="45" xfId="0" applyFont="1" applyFill="1" applyBorder="1" applyAlignment="1">
      <alignment vertical="center" wrapText="1"/>
    </xf>
    <xf numFmtId="43" fontId="18" fillId="0" borderId="45" xfId="0" applyNumberFormat="1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center" vertical="center" wrapText="1"/>
    </xf>
    <xf numFmtId="43" fontId="18" fillId="0" borderId="45" xfId="1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vertical="center" wrapText="1"/>
    </xf>
    <xf numFmtId="43" fontId="23" fillId="0" borderId="45" xfId="1" applyFont="1" applyFill="1" applyBorder="1" applyAlignment="1">
      <alignment vertical="center"/>
    </xf>
    <xf numFmtId="0" fontId="26" fillId="0" borderId="45" xfId="0" applyFont="1" applyFill="1" applyBorder="1" applyAlignment="1">
      <alignment horizontal="left" vertical="center" wrapText="1"/>
    </xf>
    <xf numFmtId="164" fontId="26" fillId="0" borderId="45" xfId="3" applyFont="1" applyFill="1" applyBorder="1" applyAlignment="1">
      <alignment horizontal="right" vertical="center" wrapText="1"/>
    </xf>
    <xf numFmtId="167" fontId="18" fillId="0" borderId="45" xfId="0" applyNumberFormat="1" applyFont="1" applyFill="1" applyBorder="1" applyAlignment="1">
      <alignment horizontal="center" vertical="center" wrapText="1"/>
    </xf>
    <xf numFmtId="167" fontId="18" fillId="0" borderId="45" xfId="0" applyNumberFormat="1" applyFont="1" applyFill="1" applyBorder="1" applyAlignment="1">
      <alignment vertical="center" wrapText="1"/>
    </xf>
    <xf numFmtId="167" fontId="18" fillId="0" borderId="44" xfId="0" applyNumberFormat="1" applyFont="1" applyFill="1" applyBorder="1" applyAlignment="1">
      <alignment vertical="center" wrapText="1"/>
    </xf>
    <xf numFmtId="4" fontId="18" fillId="0" borderId="45" xfId="0" applyNumberFormat="1" applyFont="1" applyFill="1" applyBorder="1" applyAlignment="1">
      <alignment vertical="center" wrapText="1"/>
    </xf>
    <xf numFmtId="4" fontId="23" fillId="0" borderId="45" xfId="1" applyNumberFormat="1" applyFont="1" applyFill="1" applyBorder="1" applyAlignment="1">
      <alignment vertical="center"/>
    </xf>
    <xf numFmtId="4" fontId="18" fillId="0" borderId="45" xfId="0" applyNumberFormat="1" applyFont="1" applyFill="1" applyBorder="1" applyAlignment="1">
      <alignment horizontal="center" vertical="center" wrapText="1"/>
    </xf>
    <xf numFmtId="4" fontId="18" fillId="0" borderId="45" xfId="1" applyNumberFormat="1" applyFont="1" applyFill="1" applyBorder="1" applyAlignment="1">
      <alignment vertical="center" wrapText="1"/>
    </xf>
    <xf numFmtId="0" fontId="18" fillId="0" borderId="45" xfId="0" applyFont="1" applyFill="1" applyBorder="1"/>
    <xf numFmtId="49" fontId="18" fillId="0" borderId="45" xfId="0" applyNumberFormat="1" applyFont="1" applyFill="1" applyBorder="1" applyAlignment="1">
      <alignment horizontal="center" vertical="center" wrapText="1"/>
    </xf>
    <xf numFmtId="164" fontId="26" fillId="0" borderId="46" xfId="3" applyFont="1" applyFill="1" applyBorder="1" applyAlignment="1">
      <alignment horizontal="right" vertical="center" wrapText="1"/>
    </xf>
    <xf numFmtId="43" fontId="18" fillId="0" borderId="44" xfId="0" applyNumberFormat="1" applyFont="1" applyFill="1" applyBorder="1" applyAlignment="1">
      <alignment vertical="center" wrapText="1"/>
    </xf>
    <xf numFmtId="4" fontId="18" fillId="0" borderId="45" xfId="0" applyNumberFormat="1" applyFont="1" applyFill="1" applyBorder="1" applyAlignment="1">
      <alignment horizontal="right" vertical="center"/>
    </xf>
    <xf numFmtId="0" fontId="26" fillId="0" borderId="45" xfId="2" applyFont="1" applyFill="1" applyBorder="1">
      <alignment horizontal="left" vertical="center" wrapText="1"/>
    </xf>
    <xf numFmtId="4" fontId="26" fillId="0" borderId="45" xfId="0" applyNumberFormat="1" applyFont="1" applyFill="1" applyBorder="1" applyAlignment="1">
      <alignment horizontal="right" vertical="center" wrapText="1"/>
    </xf>
    <xf numFmtId="167" fontId="18" fillId="0" borderId="44" xfId="1" applyNumberFormat="1" applyFont="1" applyFill="1" applyBorder="1" applyAlignment="1">
      <alignment vertical="center" wrapText="1"/>
    </xf>
    <xf numFmtId="43" fontId="26" fillId="0" borderId="45" xfId="0" applyNumberFormat="1" applyFont="1" applyFill="1" applyBorder="1" applyAlignment="1">
      <alignment vertical="center" wrapText="1"/>
    </xf>
    <xf numFmtId="167" fontId="18" fillId="0" borderId="45" xfId="1" applyNumberFormat="1" applyFont="1" applyFill="1" applyBorder="1" applyAlignment="1">
      <alignment vertical="center" wrapText="1"/>
    </xf>
    <xf numFmtId="0" fontId="24" fillId="0" borderId="45" xfId="0" applyFont="1" applyFill="1" applyBorder="1" applyAlignment="1">
      <alignment horizontal="center" vertical="center" wrapText="1"/>
    </xf>
    <xf numFmtId="167" fontId="23" fillId="0" borderId="45" xfId="1" applyNumberFormat="1" applyFont="1" applyFill="1" applyBorder="1" applyAlignment="1">
      <alignment vertical="center"/>
    </xf>
    <xf numFmtId="4" fontId="23" fillId="0" borderId="45" xfId="0" applyNumberFormat="1" applyFont="1" applyFill="1" applyBorder="1" applyAlignment="1">
      <alignment horizontal="right" vertical="center" wrapText="1"/>
    </xf>
    <xf numFmtId="0" fontId="18" fillId="0" borderId="45" xfId="0" applyFont="1" applyFill="1" applyBorder="1" applyAlignment="1">
      <alignment horizontal="right" vertical="center" wrapText="1"/>
    </xf>
    <xf numFmtId="167" fontId="26" fillId="0" borderId="45" xfId="3" applyNumberFormat="1" applyFont="1" applyFill="1" applyBorder="1" applyAlignment="1">
      <alignment horizontal="right" vertical="center" wrapText="1"/>
    </xf>
    <xf numFmtId="43" fontId="27" fillId="0" borderId="45" xfId="0" applyNumberFormat="1" applyFont="1" applyFill="1" applyBorder="1" applyAlignment="1">
      <alignment horizontal="center" vertical="center" wrapText="1"/>
    </xf>
    <xf numFmtId="4" fontId="22" fillId="0" borderId="4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26" fillId="0" borderId="45" xfId="4" applyFont="1" applyFill="1" applyBorder="1">
      <alignment horizontal="left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18" fillId="0" borderId="45" xfId="1" applyNumberFormat="1" applyFont="1" applyFill="1" applyBorder="1" applyAlignment="1">
      <alignment horizontal="center" vertical="center" wrapText="1"/>
    </xf>
    <xf numFmtId="0" fontId="26" fillId="0" borderId="45" xfId="0" applyFont="1" applyFill="1" applyBorder="1" applyAlignment="1">
      <alignment horizontal="center" vertical="center"/>
    </xf>
    <xf numFmtId="4" fontId="26" fillId="0" borderId="45" xfId="0" applyNumberFormat="1" applyFont="1" applyFill="1" applyBorder="1" applyAlignment="1">
      <alignment horizontal="center" vertical="center"/>
    </xf>
    <xf numFmtId="164" fontId="26" fillId="0" borderId="45" xfId="3" applyFont="1" applyFill="1" applyBorder="1" applyAlignment="1">
      <alignment vertical="center" wrapText="1"/>
    </xf>
    <xf numFmtId="167" fontId="23" fillId="0" borderId="45" xfId="0" applyNumberFormat="1" applyFont="1" applyFill="1" applyBorder="1" applyAlignment="1">
      <alignment horizontal="right" vertical="center" wrapText="1"/>
    </xf>
    <xf numFmtId="43" fontId="18" fillId="0" borderId="40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Alignment="1">
      <alignment vertical="center" wrapText="1"/>
    </xf>
    <xf numFmtId="164" fontId="26" fillId="0" borderId="40" xfId="3" applyFont="1" applyFill="1" applyBorder="1" applyAlignment="1">
      <alignment vertical="center" wrapText="1"/>
    </xf>
    <xf numFmtId="4" fontId="26" fillId="0" borderId="40" xfId="0" applyNumberFormat="1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left" vertical="center" wrapText="1"/>
    </xf>
    <xf numFmtId="43" fontId="18" fillId="0" borderId="40" xfId="1" applyFont="1" applyFill="1" applyBorder="1" applyAlignment="1">
      <alignment vertical="center"/>
    </xf>
    <xf numFmtId="164" fontId="23" fillId="0" borderId="40" xfId="1" applyNumberFormat="1" applyFont="1" applyFill="1" applyBorder="1" applyAlignment="1">
      <alignment horizontal="center" vertical="center"/>
    </xf>
    <xf numFmtId="0" fontId="18" fillId="0" borderId="40" xfId="1" applyNumberFormat="1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/>
    </xf>
    <xf numFmtId="4" fontId="26" fillId="0" borderId="40" xfId="0" applyNumberFormat="1" applyFont="1" applyFill="1" applyBorder="1" applyAlignment="1">
      <alignment horizontal="center" vertical="center"/>
    </xf>
    <xf numFmtId="43" fontId="26" fillId="0" borderId="40" xfId="0" applyNumberFormat="1" applyFont="1" applyFill="1" applyBorder="1" applyAlignment="1">
      <alignment vertical="center" wrapText="1"/>
    </xf>
    <xf numFmtId="0" fontId="18" fillId="0" borderId="40" xfId="0" applyFont="1" applyFill="1" applyBorder="1" applyAlignment="1">
      <alignment horizontal="left" vertical="center"/>
    </xf>
    <xf numFmtId="43" fontId="18" fillId="0" borderId="40" xfId="1" applyNumberFormat="1" applyFont="1" applyFill="1" applyBorder="1" applyAlignment="1">
      <alignment horizontal="center" vertical="center" wrapText="1"/>
    </xf>
    <xf numFmtId="43" fontId="18" fillId="0" borderId="41" xfId="0" applyNumberFormat="1" applyFont="1" applyFill="1" applyBorder="1" applyAlignment="1">
      <alignment horizontal="center" vertical="center" wrapText="1"/>
    </xf>
    <xf numFmtId="43" fontId="23" fillId="0" borderId="40" xfId="0" applyNumberFormat="1" applyFont="1" applyFill="1" applyBorder="1" applyAlignment="1">
      <alignment horizontal="center" vertical="center"/>
    </xf>
    <xf numFmtId="39" fontId="18" fillId="0" borderId="40" xfId="0" applyNumberFormat="1" applyFont="1" applyFill="1" applyBorder="1" applyAlignment="1">
      <alignment vertical="center" wrapText="1"/>
    </xf>
    <xf numFmtId="0" fontId="27" fillId="0" borderId="40" xfId="0" applyFont="1" applyFill="1" applyBorder="1" applyAlignment="1">
      <alignment horizontal="center" vertical="center" wrapText="1"/>
    </xf>
    <xf numFmtId="4" fontId="18" fillId="0" borderId="40" xfId="4" applyNumberFormat="1" applyFont="1" applyFill="1" applyBorder="1">
      <alignment horizontal="left" vertical="center" wrapText="1"/>
    </xf>
    <xf numFmtId="0" fontId="26" fillId="0" borderId="40" xfId="2" applyFont="1" applyFill="1" applyBorder="1">
      <alignment horizontal="left" vertical="center" wrapText="1"/>
    </xf>
    <xf numFmtId="43" fontId="26" fillId="0" borderId="41" xfId="1" applyFont="1" applyFill="1" applyBorder="1" applyAlignment="1">
      <alignment vertical="center" wrapText="1"/>
    </xf>
    <xf numFmtId="43" fontId="18" fillId="0" borderId="45" xfId="1" applyNumberFormat="1" applyFont="1" applyFill="1" applyBorder="1" applyAlignment="1">
      <alignment horizontal="center" vertical="center" wrapText="1"/>
    </xf>
    <xf numFmtId="43" fontId="26" fillId="0" borderId="45" xfId="1" applyFont="1" applyFill="1" applyBorder="1" applyAlignment="1">
      <alignment horizontal="right" vertical="center" wrapText="1"/>
    </xf>
    <xf numFmtId="43" fontId="18" fillId="0" borderId="45" xfId="0" applyNumberFormat="1" applyFont="1" applyFill="1" applyBorder="1" applyAlignment="1">
      <alignment horizontal="center" vertical="center" wrapText="1"/>
    </xf>
    <xf numFmtId="43" fontId="23" fillId="0" borderId="45" xfId="0" applyNumberFormat="1" applyFont="1" applyFill="1" applyBorder="1" applyAlignment="1">
      <alignment horizontal="center" vertical="center"/>
    </xf>
    <xf numFmtId="43" fontId="18" fillId="0" borderId="35" xfId="0" applyNumberFormat="1" applyFont="1" applyFill="1" applyBorder="1" applyAlignment="1">
      <alignment vertical="center" wrapText="1"/>
    </xf>
    <xf numFmtId="43" fontId="18" fillId="0" borderId="35" xfId="0" applyNumberFormat="1" applyFont="1" applyFill="1" applyBorder="1" applyAlignment="1">
      <alignment horizontal="center" vertical="center" wrapText="1"/>
    </xf>
    <xf numFmtId="43" fontId="26" fillId="0" borderId="35" xfId="1" applyFont="1" applyFill="1" applyBorder="1" applyAlignment="1">
      <alignment vertical="center" wrapText="1"/>
    </xf>
    <xf numFmtId="164" fontId="23" fillId="0" borderId="45" xfId="1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164" fontId="26" fillId="0" borderId="35" xfId="3" applyFont="1" applyFill="1" applyBorder="1" applyAlignment="1">
      <alignment horizontal="right" vertical="center" wrapText="1"/>
    </xf>
    <xf numFmtId="4" fontId="26" fillId="0" borderId="45" xfId="0" applyNumberFormat="1" applyFont="1" applyFill="1" applyBorder="1" applyAlignment="1">
      <alignment vertical="center"/>
    </xf>
    <xf numFmtId="43" fontId="18" fillId="0" borderId="45" xfId="1" applyFont="1" applyFill="1" applyBorder="1" applyAlignment="1">
      <alignment vertical="center"/>
    </xf>
    <xf numFmtId="0" fontId="18" fillId="0" borderId="45" xfId="0" applyFont="1" applyFill="1" applyBorder="1" applyAlignment="1">
      <alignment vertical="center"/>
    </xf>
    <xf numFmtId="43" fontId="27" fillId="0" borderId="45" xfId="0" applyNumberFormat="1" applyFont="1" applyFill="1" applyBorder="1" applyAlignment="1">
      <alignment vertical="center" wrapText="1"/>
    </xf>
    <xf numFmtId="167" fontId="18" fillId="0" borderId="45" xfId="1" applyNumberFormat="1" applyFont="1" applyFill="1" applyBorder="1" applyAlignment="1">
      <alignment horizontal="right" vertical="center" wrapText="1"/>
    </xf>
    <xf numFmtId="167" fontId="26" fillId="0" borderId="45" xfId="0" applyNumberFormat="1" applyFont="1" applyFill="1" applyBorder="1" applyAlignment="1">
      <alignment horizontal="center" vertical="center" wrapText="1"/>
    </xf>
    <xf numFmtId="167" fontId="26" fillId="0" borderId="45" xfId="0" applyNumberFormat="1" applyFont="1" applyFill="1" applyBorder="1" applyAlignment="1">
      <alignment vertical="center" wrapText="1"/>
    </xf>
    <xf numFmtId="43" fontId="18" fillId="0" borderId="45" xfId="0" applyNumberFormat="1" applyFont="1" applyFill="1" applyBorder="1" applyAlignment="1">
      <alignment horizontal="right" vertical="center" wrapText="1"/>
    </xf>
    <xf numFmtId="49" fontId="26" fillId="0" borderId="45" xfId="2" applyNumberFormat="1" applyFont="1" applyFill="1" applyBorder="1">
      <alignment horizontal="left" vertical="center" wrapText="1"/>
    </xf>
    <xf numFmtId="0" fontId="26" fillId="0" borderId="45" xfId="2" applyFont="1" applyFill="1" applyBorder="1" applyAlignment="1">
      <alignment horizontal="left" vertical="center"/>
    </xf>
    <xf numFmtId="0" fontId="18" fillId="0" borderId="40" xfId="0" applyFont="1" applyFill="1" applyBorder="1" applyAlignment="1">
      <alignment vertical="center"/>
    </xf>
    <xf numFmtId="4" fontId="26" fillId="0" borderId="47" xfId="0" applyNumberFormat="1" applyFont="1" applyFill="1" applyBorder="1" applyAlignment="1">
      <alignment horizontal="center" vertical="center"/>
    </xf>
    <xf numFmtId="4" fontId="26" fillId="0" borderId="48" xfId="0" applyNumberFormat="1" applyFont="1" applyFill="1" applyBorder="1" applyAlignment="1">
      <alignment horizontal="center" vertical="center"/>
    </xf>
    <xf numFmtId="4" fontId="26" fillId="0" borderId="49" xfId="0" applyNumberFormat="1" applyFont="1" applyFill="1" applyBorder="1" applyAlignment="1">
      <alignment horizontal="center" vertical="center"/>
    </xf>
    <xf numFmtId="0" fontId="46" fillId="0" borderId="0" xfId="0" applyFont="1" applyFill="1"/>
    <xf numFmtId="0" fontId="26" fillId="0" borderId="45" xfId="2" applyFont="1" applyFill="1" applyBorder="1" applyAlignment="1">
      <alignment vertical="center"/>
    </xf>
    <xf numFmtId="43" fontId="47" fillId="0" borderId="1" xfId="1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26" fillId="0" borderId="52" xfId="2" applyFont="1" applyFill="1" applyBorder="1">
      <alignment horizontal="left" vertical="center" wrapText="1"/>
    </xf>
    <xf numFmtId="43" fontId="18" fillId="0" borderId="51" xfId="1" applyFont="1" applyFill="1" applyBorder="1" applyAlignment="1">
      <alignment horizontal="center" vertical="center" wrapText="1"/>
    </xf>
    <xf numFmtId="43" fontId="18" fillId="0" borderId="51" xfId="1" applyFont="1" applyFill="1" applyBorder="1" applyAlignment="1">
      <alignment vertical="center" wrapText="1"/>
    </xf>
    <xf numFmtId="43" fontId="18" fillId="0" borderId="53" xfId="1" applyFont="1" applyFill="1" applyBorder="1" applyAlignment="1">
      <alignment vertical="center" wrapText="1"/>
    </xf>
    <xf numFmtId="43" fontId="18" fillId="0" borderId="51" xfId="1" applyFont="1" applyFill="1" applyBorder="1" applyAlignment="1">
      <alignment horizontal="left" vertical="center" wrapText="1"/>
    </xf>
    <xf numFmtId="0" fontId="18" fillId="0" borderId="53" xfId="0" applyFont="1" applyFill="1" applyBorder="1" applyAlignment="1">
      <alignment vertical="center" wrapText="1"/>
    </xf>
    <xf numFmtId="4" fontId="18" fillId="0" borderId="51" xfId="0" applyNumberFormat="1" applyFont="1" applyFill="1" applyBorder="1" applyAlignment="1">
      <alignment horizontal="center" vertical="center" wrapText="1"/>
    </xf>
    <xf numFmtId="166" fontId="26" fillId="0" borderId="51" xfId="2" applyNumberFormat="1" applyFont="1" applyFill="1" applyBorder="1" applyAlignment="1">
      <alignment horizontal="right" vertical="center"/>
    </xf>
    <xf numFmtId="0" fontId="26" fillId="0" borderId="51" xfId="2" applyFont="1" applyFill="1" applyBorder="1">
      <alignment horizontal="left" vertical="center" wrapText="1"/>
    </xf>
    <xf numFmtId="0" fontId="8" fillId="0" borderId="51" xfId="0" applyFont="1" applyFill="1" applyBorder="1" applyAlignment="1">
      <alignment vertical="center" wrapText="1"/>
    </xf>
    <xf numFmtId="0" fontId="18" fillId="0" borderId="51" xfId="0" applyFont="1" applyFill="1" applyBorder="1" applyAlignment="1">
      <alignment vertical="center" wrapText="1"/>
    </xf>
    <xf numFmtId="164" fontId="26" fillId="0" borderId="51" xfId="3" applyFont="1" applyFill="1" applyBorder="1" applyAlignment="1">
      <alignment horizontal="right" vertical="center" wrapText="1"/>
    </xf>
    <xf numFmtId="43" fontId="8" fillId="0" borderId="0" xfId="0" applyNumberFormat="1" applyFont="1" applyFill="1" applyAlignment="1">
      <alignment vertical="center" wrapText="1"/>
    </xf>
    <xf numFmtId="43" fontId="8" fillId="0" borderId="51" xfId="1" applyFont="1" applyFill="1" applyBorder="1" applyAlignment="1">
      <alignment vertical="center" wrapText="1"/>
    </xf>
    <xf numFmtId="0" fontId="36" fillId="0" borderId="51" xfId="0" applyFont="1" applyFill="1" applyBorder="1" applyAlignment="1">
      <alignment horizontal="center" vertical="center" wrapText="1"/>
    </xf>
    <xf numFmtId="43" fontId="18" fillId="0" borderId="53" xfId="1" applyFont="1" applyFill="1" applyBorder="1" applyAlignment="1">
      <alignment horizontal="center" vertical="center" wrapText="1"/>
    </xf>
    <xf numFmtId="0" fontId="18" fillId="0" borderId="53" xfId="0" applyFont="1" applyFill="1" applyBorder="1" applyAlignment="1">
      <alignment horizontal="center" vertical="center" wrapText="1"/>
    </xf>
    <xf numFmtId="0" fontId="26" fillId="0" borderId="53" xfId="2" applyFont="1" applyFill="1" applyBorder="1" applyAlignment="1">
      <alignment vertical="center"/>
    </xf>
    <xf numFmtId="166" fontId="26" fillId="0" borderId="51" xfId="2" applyNumberFormat="1" applyFont="1" applyFill="1" applyBorder="1" applyAlignment="1">
      <alignment vertical="center"/>
    </xf>
    <xf numFmtId="43" fontId="18" fillId="0" borderId="51" xfId="0" applyNumberFormat="1" applyFont="1" applyFill="1" applyBorder="1" applyAlignment="1">
      <alignment vertical="center" wrapText="1"/>
    </xf>
    <xf numFmtId="167" fontId="18" fillId="0" borderId="51" xfId="0" applyNumberFormat="1" applyFont="1" applyFill="1" applyBorder="1" applyAlignment="1">
      <alignment vertical="center" wrapText="1"/>
    </xf>
    <xf numFmtId="0" fontId="26" fillId="0" borderId="51" xfId="2" applyFont="1" applyFill="1" applyBorder="1" applyAlignment="1">
      <alignment vertical="center"/>
    </xf>
    <xf numFmtId="167" fontId="18" fillId="0" borderId="51" xfId="1" applyNumberFormat="1" applyFont="1" applyFill="1" applyBorder="1" applyAlignment="1">
      <alignment horizontal="right" vertical="center" wrapText="1"/>
    </xf>
    <xf numFmtId="0" fontId="36" fillId="0" borderId="51" xfId="0" applyFont="1" applyFill="1" applyBorder="1" applyAlignment="1">
      <alignment vertical="center" wrapText="1"/>
    </xf>
    <xf numFmtId="167" fontId="18" fillId="0" borderId="51" xfId="1" applyNumberFormat="1" applyFont="1" applyFill="1" applyBorder="1" applyAlignment="1">
      <alignment vertical="center" wrapText="1"/>
    </xf>
    <xf numFmtId="0" fontId="26" fillId="0" borderId="51" xfId="2" applyFont="1" applyFill="1" applyBorder="1" applyAlignment="1">
      <alignment horizontal="left" vertical="center"/>
    </xf>
    <xf numFmtId="43" fontId="18" fillId="0" borderId="51" xfId="0" applyNumberFormat="1" applyFont="1" applyFill="1" applyBorder="1" applyAlignment="1">
      <alignment horizontal="right" vertical="center" wrapText="1"/>
    </xf>
    <xf numFmtId="43" fontId="18" fillId="0" borderId="51" xfId="0" applyNumberFormat="1" applyFont="1" applyFill="1" applyBorder="1" applyAlignment="1">
      <alignment horizontal="center" vertical="center" wrapText="1"/>
    </xf>
    <xf numFmtId="43" fontId="23" fillId="0" borderId="51" xfId="1" applyFont="1" applyFill="1" applyBorder="1" applyAlignment="1">
      <alignment vertical="center"/>
    </xf>
    <xf numFmtId="167" fontId="18" fillId="0" borderId="51" xfId="0" applyNumberFormat="1" applyFont="1" applyFill="1" applyBorder="1" applyAlignment="1">
      <alignment horizontal="center" vertical="center" wrapText="1"/>
    </xf>
    <xf numFmtId="0" fontId="18" fillId="0" borderId="51" xfId="0" applyFont="1" applyFill="1" applyBorder="1"/>
    <xf numFmtId="49" fontId="18" fillId="0" borderId="51" xfId="0" applyNumberFormat="1" applyFont="1" applyFill="1" applyBorder="1" applyAlignment="1">
      <alignment horizontal="center" vertical="center" wrapText="1"/>
    </xf>
    <xf numFmtId="0" fontId="26" fillId="0" borderId="51" xfId="2" applyFont="1" applyFill="1" applyBorder="1" applyAlignment="1">
      <alignment horizontal="left" vertical="center" wrapText="1"/>
    </xf>
    <xf numFmtId="0" fontId="26" fillId="0" borderId="51" xfId="0" applyFont="1" applyFill="1" applyBorder="1" applyAlignment="1">
      <alignment horizontal="left" vertical="center" wrapText="1"/>
    </xf>
    <xf numFmtId="4" fontId="26" fillId="0" borderId="51" xfId="0" applyNumberFormat="1" applyFont="1" applyFill="1" applyBorder="1" applyAlignment="1">
      <alignment horizontal="right" vertical="center" wrapText="1"/>
    </xf>
    <xf numFmtId="4" fontId="18" fillId="0" borderId="51" xfId="0" applyNumberFormat="1" applyFont="1" applyFill="1" applyBorder="1" applyAlignment="1">
      <alignment horizontal="right" vertical="center"/>
    </xf>
    <xf numFmtId="167" fontId="26" fillId="0" borderId="51" xfId="0" applyNumberFormat="1" applyFont="1" applyFill="1" applyBorder="1" applyAlignment="1">
      <alignment horizontal="center" vertical="center" wrapText="1"/>
    </xf>
    <xf numFmtId="167" fontId="18" fillId="0" borderId="53" xfId="1" applyNumberFormat="1" applyFont="1" applyFill="1" applyBorder="1" applyAlignment="1">
      <alignment vertical="center" wrapText="1"/>
    </xf>
    <xf numFmtId="43" fontId="26" fillId="0" borderId="51" xfId="1" applyFont="1" applyFill="1" applyBorder="1" applyAlignment="1">
      <alignment vertical="center" wrapText="1"/>
    </xf>
    <xf numFmtId="43" fontId="35" fillId="0" borderId="51" xfId="1" applyFont="1" applyFill="1" applyBorder="1" applyAlignment="1">
      <alignment vertical="center"/>
    </xf>
    <xf numFmtId="43" fontId="18" fillId="0" borderId="53" xfId="0" applyNumberFormat="1" applyFont="1" applyFill="1" applyBorder="1" applyAlignment="1">
      <alignment vertical="center" wrapText="1"/>
    </xf>
    <xf numFmtId="43" fontId="26" fillId="0" borderId="53" xfId="1" applyFont="1" applyFill="1" applyBorder="1" applyAlignment="1">
      <alignment vertical="center" wrapText="1"/>
    </xf>
    <xf numFmtId="4" fontId="18" fillId="0" borderId="35" xfId="1" applyNumberFormat="1" applyFont="1" applyFill="1" applyBorder="1" applyAlignment="1">
      <alignment vertical="center" wrapText="1"/>
    </xf>
    <xf numFmtId="4" fontId="18" fillId="0" borderId="35" xfId="0" applyNumberFormat="1" applyFont="1" applyFill="1" applyBorder="1" applyAlignment="1">
      <alignment vertical="center" wrapText="1"/>
    </xf>
    <xf numFmtId="0" fontId="24" fillId="0" borderId="5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69" fontId="23" fillId="0" borderId="45" xfId="1" applyNumberFormat="1" applyFont="1" applyFill="1" applyBorder="1" applyAlignment="1">
      <alignment vertical="center"/>
    </xf>
    <xf numFmtId="4" fontId="26" fillId="0" borderId="45" xfId="2" applyNumberFormat="1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left" vertical="center" wrapText="1"/>
    </xf>
    <xf numFmtId="0" fontId="18" fillId="0" borderId="54" xfId="0" applyFont="1" applyFill="1" applyBorder="1" applyAlignment="1">
      <alignment horizontal="left" vertical="center"/>
    </xf>
    <xf numFmtId="168" fontId="26" fillId="0" borderId="45" xfId="1" applyNumberFormat="1" applyFont="1" applyFill="1" applyBorder="1" applyAlignment="1" applyProtection="1">
      <alignment horizontal="center" vertical="center"/>
    </xf>
    <xf numFmtId="39" fontId="18" fillId="0" borderId="45" xfId="0" applyNumberFormat="1" applyFont="1" applyFill="1" applyBorder="1" applyAlignment="1">
      <alignment vertical="center" wrapText="1"/>
    </xf>
    <xf numFmtId="3" fontId="22" fillId="0" borderId="35" xfId="1" applyNumberFormat="1" applyFont="1" applyFill="1" applyBorder="1" applyAlignment="1">
      <alignment horizontal="center" vertical="center" wrapText="1"/>
    </xf>
    <xf numFmtId="4" fontId="18" fillId="0" borderId="35" xfId="1" applyNumberFormat="1" applyFont="1" applyFill="1" applyBorder="1" applyAlignment="1">
      <alignment horizontal="center" vertical="center" wrapText="1"/>
    </xf>
    <xf numFmtId="4" fontId="26" fillId="0" borderId="45" xfId="3" applyNumberFormat="1" applyFont="1" applyFill="1" applyBorder="1" applyAlignment="1">
      <alignment horizontal="center" vertical="center" wrapText="1"/>
    </xf>
    <xf numFmtId="4" fontId="18" fillId="0" borderId="45" xfId="4" applyNumberFormat="1" applyFont="1" applyFill="1" applyBorder="1">
      <alignment horizontal="left" vertical="center" wrapText="1"/>
    </xf>
    <xf numFmtId="0" fontId="29" fillId="0" borderId="45" xfId="0" applyFont="1" applyFill="1" applyBorder="1" applyAlignment="1">
      <alignment vertical="center" wrapText="1"/>
    </xf>
    <xf numFmtId="167" fontId="29" fillId="0" borderId="45" xfId="0" applyNumberFormat="1" applyFont="1" applyFill="1" applyBorder="1" applyAlignment="1">
      <alignment vertical="center" wrapText="1"/>
    </xf>
    <xf numFmtId="164" fontId="26" fillId="0" borderId="45" xfId="1" applyNumberFormat="1" applyFont="1" applyFill="1" applyBorder="1" applyAlignment="1">
      <alignment horizontal="right" vertical="center" wrapText="1"/>
    </xf>
    <xf numFmtId="4" fontId="23" fillId="0" borderId="45" xfId="0" applyNumberFormat="1" applyFont="1" applyFill="1" applyBorder="1" applyAlignment="1">
      <alignment horizontal="center" vertical="center"/>
    </xf>
    <xf numFmtId="164" fontId="26" fillId="0" borderId="55" xfId="3" applyFont="1" applyFill="1" applyBorder="1" applyAlignment="1">
      <alignment horizontal="right" vertical="center" wrapText="1"/>
    </xf>
    <xf numFmtId="4" fontId="26" fillId="0" borderId="35" xfId="0" applyNumberFormat="1" applyFont="1" applyFill="1" applyBorder="1" applyAlignment="1">
      <alignment horizontal="right" vertical="center" wrapText="1"/>
    </xf>
    <xf numFmtId="4" fontId="26" fillId="0" borderId="45" xfId="1" applyNumberFormat="1" applyFont="1" applyFill="1" applyBorder="1" applyAlignment="1">
      <alignment horizontal="right" vertical="center"/>
    </xf>
    <xf numFmtId="4" fontId="26" fillId="0" borderId="45" xfId="1" applyNumberFormat="1" applyFont="1" applyFill="1" applyBorder="1" applyAlignment="1">
      <alignment horizontal="right" vertical="center" wrapText="1"/>
    </xf>
    <xf numFmtId="4" fontId="48" fillId="0" borderId="45" xfId="0" applyNumberFormat="1" applyFont="1" applyFill="1" applyBorder="1" applyAlignment="1">
      <alignment horizontal="right" vertical="center"/>
    </xf>
    <xf numFmtId="4" fontId="26" fillId="0" borderId="45" xfId="0" applyNumberFormat="1" applyFont="1" applyFill="1" applyBorder="1" applyAlignment="1">
      <alignment horizontal="right" vertical="center"/>
    </xf>
    <xf numFmtId="4" fontId="26" fillId="0" borderId="35" xfId="1" applyNumberFormat="1" applyFont="1" applyFill="1" applyBorder="1" applyAlignment="1">
      <alignment horizontal="right" vertical="center" wrapText="1"/>
    </xf>
    <xf numFmtId="4" fontId="26" fillId="0" borderId="51" xfId="2" applyNumberFormat="1" applyFont="1" applyFill="1" applyBorder="1" applyAlignment="1">
      <alignment vertical="center"/>
    </xf>
    <xf numFmtId="167" fontId="26" fillId="0" borderId="51" xfId="0" applyNumberFormat="1" applyFont="1" applyFill="1" applyBorder="1" applyAlignment="1">
      <alignment horizontal="right" vertical="center" wrapText="1"/>
    </xf>
    <xf numFmtId="4" fontId="18" fillId="0" borderId="51" xfId="0" applyNumberFormat="1" applyFont="1" applyFill="1" applyBorder="1" applyAlignment="1">
      <alignment vertical="center"/>
    </xf>
    <xf numFmtId="0" fontId="26" fillId="0" borderId="43" xfId="4" applyFont="1" applyFill="1" applyBorder="1">
      <alignment horizontal="left" vertical="center" wrapText="1"/>
    </xf>
    <xf numFmtId="43" fontId="27" fillId="0" borderId="51" xfId="0" applyNumberFormat="1" applyFont="1" applyFill="1" applyBorder="1" applyAlignment="1">
      <alignment horizontal="center" vertical="center" wrapText="1"/>
    </xf>
    <xf numFmtId="4" fontId="26" fillId="0" borderId="45" xfId="0" applyNumberFormat="1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left" vertical="center"/>
    </xf>
    <xf numFmtId="4" fontId="23" fillId="0" borderId="45" xfId="0" applyNumberFormat="1" applyFont="1" applyFill="1" applyBorder="1" applyAlignment="1">
      <alignment horizontal="right" vertical="center"/>
    </xf>
    <xf numFmtId="0" fontId="18" fillId="0" borderId="52" xfId="0" applyFont="1" applyFill="1" applyBorder="1" applyAlignment="1">
      <alignment horizontal="left" vertical="center" wrapText="1"/>
    </xf>
    <xf numFmtId="41" fontId="27" fillId="0" borderId="1" xfId="0" applyNumberFormat="1" applyFont="1" applyFill="1" applyBorder="1" applyAlignment="1">
      <alignment horizontal="center" vertical="center" wrapText="1"/>
    </xf>
    <xf numFmtId="41" fontId="18" fillId="0" borderId="1" xfId="1" applyNumberFormat="1" applyFont="1" applyFill="1" applyBorder="1" applyAlignment="1">
      <alignment vertical="center" wrapText="1"/>
    </xf>
    <xf numFmtId="41" fontId="27" fillId="0" borderId="1" xfId="1" applyNumberFormat="1" applyFont="1" applyFill="1" applyBorder="1" applyAlignment="1">
      <alignment horizontal="center" vertical="center" wrapText="1"/>
    </xf>
    <xf numFmtId="43" fontId="47" fillId="0" borderId="1" xfId="0" applyNumberFormat="1" applyFont="1" applyFill="1" applyBorder="1" applyAlignment="1">
      <alignment horizontal="center" vertical="center" wrapText="1"/>
    </xf>
    <xf numFmtId="41" fontId="18" fillId="0" borderId="51" xfId="1" applyNumberFormat="1" applyFont="1" applyFill="1" applyBorder="1" applyAlignment="1">
      <alignment vertical="center" wrapText="1"/>
    </xf>
    <xf numFmtId="41" fontId="18" fillId="0" borderId="1" xfId="0" applyNumberFormat="1" applyFont="1" applyFill="1" applyBorder="1" applyAlignment="1">
      <alignment horizontal="center" vertical="center" wrapText="1"/>
    </xf>
    <xf numFmtId="41" fontId="18" fillId="0" borderId="45" xfId="1" applyNumberFormat="1" applyFont="1" applyFill="1" applyBorder="1" applyAlignment="1">
      <alignment horizontal="center" vertical="center" wrapText="1"/>
    </xf>
    <xf numFmtId="41" fontId="18" fillId="0" borderId="45" xfId="0" applyNumberFormat="1" applyFont="1" applyFill="1" applyBorder="1" applyAlignment="1">
      <alignment horizontal="center" vertical="center" wrapText="1"/>
    </xf>
    <xf numFmtId="41" fontId="18" fillId="0" borderId="21" xfId="0" applyNumberFormat="1" applyFont="1" applyFill="1" applyBorder="1" applyAlignment="1">
      <alignment horizontal="center" vertical="center" wrapText="1"/>
    </xf>
    <xf numFmtId="41" fontId="18" fillId="0" borderId="21" xfId="1" applyNumberFormat="1" applyFont="1" applyFill="1" applyBorder="1" applyAlignment="1">
      <alignment vertical="center" wrapText="1"/>
    </xf>
    <xf numFmtId="41" fontId="18" fillId="0" borderId="21" xfId="1" applyNumberFormat="1" applyFont="1" applyFill="1" applyBorder="1" applyAlignment="1">
      <alignment horizontal="center" vertical="center" wrapText="1"/>
    </xf>
    <xf numFmtId="170" fontId="27" fillId="0" borderId="1" xfId="0" applyNumberFormat="1" applyFont="1" applyFill="1" applyBorder="1" applyAlignment="1">
      <alignment horizontal="center" vertical="center" wrapText="1"/>
    </xf>
    <xf numFmtId="41" fontId="18" fillId="0" borderId="35" xfId="0" applyNumberFormat="1" applyFont="1" applyFill="1" applyBorder="1" applyAlignment="1">
      <alignment horizontal="center" vertical="center" wrapText="1"/>
    </xf>
    <xf numFmtId="41" fontId="18" fillId="0" borderId="40" xfId="0" applyNumberFormat="1" applyFont="1" applyFill="1" applyBorder="1" applyAlignment="1">
      <alignment horizontal="center" vertical="center" wrapText="1"/>
    </xf>
    <xf numFmtId="41" fontId="18" fillId="0" borderId="40" xfId="1" applyNumberFormat="1" applyFont="1" applyFill="1" applyBorder="1" applyAlignment="1">
      <alignment horizontal="center" vertical="center" wrapText="1"/>
    </xf>
    <xf numFmtId="41" fontId="24" fillId="0" borderId="45" xfId="0" applyNumberFormat="1" applyFont="1" applyFill="1" applyBorder="1" applyAlignment="1">
      <alignment horizontal="center" vertical="center" wrapText="1"/>
    </xf>
    <xf numFmtId="41" fontId="24" fillId="0" borderId="1" xfId="0" applyNumberFormat="1" applyFont="1" applyFill="1" applyBorder="1" applyAlignment="1">
      <alignment horizontal="center" vertical="center" wrapText="1"/>
    </xf>
    <xf numFmtId="41" fontId="18" fillId="0" borderId="45" xfId="1" applyNumberFormat="1" applyFont="1" applyFill="1" applyBorder="1" applyAlignment="1">
      <alignment vertical="center" wrapText="1"/>
    </xf>
    <xf numFmtId="41" fontId="18" fillId="0" borderId="31" xfId="1" applyNumberFormat="1" applyFont="1" applyFill="1" applyBorder="1" applyAlignment="1">
      <alignment vertical="center" wrapText="1"/>
    </xf>
    <xf numFmtId="41" fontId="18" fillId="0" borderId="1" xfId="1" applyNumberFormat="1" applyFont="1" applyFill="1" applyBorder="1" applyAlignment="1">
      <alignment horizontal="center" vertical="center" wrapText="1"/>
    </xf>
    <xf numFmtId="164" fontId="26" fillId="0" borderId="1" xfId="1" applyNumberFormat="1" applyFont="1" applyFill="1" applyBorder="1" applyAlignment="1">
      <alignment horizontal="right" vertical="center" wrapText="1"/>
    </xf>
    <xf numFmtId="164" fontId="26" fillId="0" borderId="56" xfId="3" applyFont="1" applyFill="1" applyBorder="1" applyAlignment="1">
      <alignment horizontal="right" vertical="center" wrapText="1"/>
    </xf>
    <xf numFmtId="43" fontId="18" fillId="0" borderId="56" xfId="1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vertical="center" wrapText="1"/>
    </xf>
    <xf numFmtId="0" fontId="18" fillId="0" borderId="56" xfId="0" applyFont="1" applyFill="1" applyBorder="1" applyAlignment="1">
      <alignment vertical="center" wrapText="1"/>
    </xf>
    <xf numFmtId="43" fontId="18" fillId="0" borderId="57" xfId="1" applyFont="1" applyFill="1" applyBorder="1" applyAlignment="1">
      <alignment vertical="center" wrapText="1"/>
    </xf>
    <xf numFmtId="0" fontId="18" fillId="0" borderId="57" xfId="0" applyFont="1" applyFill="1" applyBorder="1" applyAlignment="1">
      <alignment vertical="center" wrapText="1"/>
    </xf>
    <xf numFmtId="167" fontId="7" fillId="0" borderId="56" xfId="0" applyNumberFormat="1" applyFont="1" applyFill="1" applyBorder="1" applyAlignment="1">
      <alignment vertical="center" wrapText="1"/>
    </xf>
    <xf numFmtId="167" fontId="18" fillId="0" borderId="56" xfId="1" applyNumberFormat="1" applyFont="1" applyFill="1" applyBorder="1" applyAlignment="1">
      <alignment vertical="center" wrapText="1"/>
    </xf>
    <xf numFmtId="43" fontId="18" fillId="0" borderId="56" xfId="0" applyNumberFormat="1" applyFont="1" applyFill="1" applyBorder="1" applyAlignment="1">
      <alignment vertical="center" wrapText="1"/>
    </xf>
    <xf numFmtId="0" fontId="18" fillId="0" borderId="56" xfId="0" applyFont="1" applyFill="1" applyBorder="1" applyAlignment="1">
      <alignment horizontal="center" vertical="center" wrapText="1"/>
    </xf>
    <xf numFmtId="167" fontId="18" fillId="0" borderId="56" xfId="0" applyNumberFormat="1" applyFont="1" applyFill="1" applyBorder="1" applyAlignment="1">
      <alignment vertical="center" wrapText="1"/>
    </xf>
    <xf numFmtId="43" fontId="18" fillId="0" borderId="56" xfId="1" applyFont="1" applyFill="1" applyBorder="1" applyAlignment="1">
      <alignment vertical="center" wrapText="1"/>
    </xf>
    <xf numFmtId="43" fontId="23" fillId="0" borderId="56" xfId="1" applyFont="1" applyFill="1" applyBorder="1" applyAlignment="1">
      <alignment vertical="center"/>
    </xf>
    <xf numFmtId="164" fontId="23" fillId="0" borderId="56" xfId="1" applyNumberFormat="1" applyFont="1" applyFill="1" applyBorder="1" applyAlignment="1">
      <alignment horizontal="center" vertical="center"/>
    </xf>
    <xf numFmtId="164" fontId="26" fillId="0" borderId="56" xfId="3" applyFont="1" applyFill="1" applyBorder="1" applyAlignment="1">
      <alignment vertical="center" wrapText="1"/>
    </xf>
    <xf numFmtId="43" fontId="26" fillId="0" borderId="56" xfId="1" applyFont="1" applyFill="1" applyBorder="1" applyAlignment="1">
      <alignment vertical="center" wrapText="1"/>
    </xf>
    <xf numFmtId="4" fontId="26" fillId="0" borderId="56" xfId="0" applyNumberFormat="1" applyFont="1" applyFill="1" applyBorder="1" applyAlignment="1">
      <alignment horizontal="center" vertical="center" wrapText="1"/>
    </xf>
    <xf numFmtId="0" fontId="26" fillId="0" borderId="56" xfId="2" applyFont="1" applyFill="1" applyBorder="1" applyAlignment="1">
      <alignment horizontal="left" vertical="center" wrapText="1"/>
    </xf>
    <xf numFmtId="0" fontId="26" fillId="0" borderId="56" xfId="2" applyFont="1" applyFill="1" applyBorder="1">
      <alignment horizontal="left" vertical="center" wrapText="1"/>
    </xf>
    <xf numFmtId="43" fontId="18" fillId="0" borderId="57" xfId="0" applyNumberFormat="1" applyFont="1" applyFill="1" applyBorder="1" applyAlignment="1">
      <alignment vertical="center" wrapText="1"/>
    </xf>
    <xf numFmtId="0" fontId="26" fillId="0" borderId="56" xfId="2" applyFont="1" applyFill="1" applyBorder="1" applyAlignment="1">
      <alignment vertical="center" wrapText="1"/>
    </xf>
    <xf numFmtId="4" fontId="18" fillId="0" borderId="56" xfId="0" applyNumberFormat="1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vertical="center" wrapText="1"/>
    </xf>
    <xf numFmtId="166" fontId="26" fillId="0" borderId="56" xfId="2" applyNumberFormat="1" applyFont="1" applyFill="1" applyBorder="1" applyAlignment="1">
      <alignment vertical="center"/>
    </xf>
    <xf numFmtId="43" fontId="6" fillId="0" borderId="0" xfId="0" applyNumberFormat="1" applyFont="1" applyFill="1" applyAlignment="1">
      <alignment vertical="center" wrapText="1"/>
    </xf>
    <xf numFmtId="0" fontId="26" fillId="0" borderId="57" xfId="2" applyFont="1" applyFill="1" applyBorder="1" applyAlignment="1">
      <alignment vertical="center"/>
    </xf>
    <xf numFmtId="0" fontId="18" fillId="0" borderId="56" xfId="0" applyFont="1" applyFill="1" applyBorder="1"/>
    <xf numFmtId="167" fontId="26" fillId="0" borderId="56" xfId="0" applyNumberFormat="1" applyFont="1" applyFill="1" applyBorder="1" applyAlignment="1">
      <alignment horizontal="right" vertical="center" wrapText="1"/>
    </xf>
    <xf numFmtId="0" fontId="26" fillId="0" borderId="56" xfId="0" applyFont="1" applyFill="1" applyBorder="1" applyAlignment="1">
      <alignment horizontal="left" vertical="center" wrapText="1"/>
    </xf>
    <xf numFmtId="4" fontId="26" fillId="0" borderId="56" xfId="0" applyNumberFormat="1" applyFont="1" applyFill="1" applyBorder="1" applyAlignment="1">
      <alignment horizontal="right" vertical="center" wrapText="1"/>
    </xf>
    <xf numFmtId="167" fontId="18" fillId="0" borderId="56" xfId="0" applyNumberFormat="1" applyFont="1" applyFill="1" applyBorder="1" applyAlignment="1">
      <alignment horizontal="center" vertical="center" wrapText="1"/>
    </xf>
    <xf numFmtId="4" fontId="18" fillId="0" borderId="56" xfId="0" applyNumberFormat="1" applyFont="1" applyFill="1" applyBorder="1" applyAlignment="1">
      <alignment horizontal="right" vertical="center"/>
    </xf>
    <xf numFmtId="167" fontId="26" fillId="0" borderId="56" xfId="0" applyNumberFormat="1" applyFont="1" applyFill="1" applyBorder="1" applyAlignment="1">
      <alignment horizontal="center" vertical="center" wrapText="1"/>
    </xf>
    <xf numFmtId="0" fontId="18" fillId="0" borderId="57" xfId="0" applyFont="1" applyFill="1" applyBorder="1"/>
    <xf numFmtId="4" fontId="18" fillId="0" borderId="56" xfId="0" applyNumberFormat="1" applyFont="1" applyFill="1" applyBorder="1" applyAlignment="1">
      <alignment vertical="center" wrapText="1"/>
    </xf>
    <xf numFmtId="164" fontId="26" fillId="0" borderId="58" xfId="3" applyFont="1" applyFill="1" applyBorder="1" applyAlignment="1">
      <alignment horizontal="right" vertical="center" wrapText="1"/>
    </xf>
    <xf numFmtId="43" fontId="18" fillId="0" borderId="59" xfId="1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167" fontId="23" fillId="0" borderId="59" xfId="1" applyNumberFormat="1" applyFont="1" applyFill="1" applyBorder="1" applyAlignment="1">
      <alignment vertical="center"/>
    </xf>
    <xf numFmtId="167" fontId="18" fillId="0" borderId="59" xfId="1" applyNumberFormat="1" applyFont="1" applyFill="1" applyBorder="1" applyAlignment="1">
      <alignment vertical="center" wrapText="1"/>
    </xf>
    <xf numFmtId="167" fontId="18" fillId="0" borderId="59" xfId="0" applyNumberFormat="1" applyFont="1" applyFill="1" applyBorder="1" applyAlignment="1">
      <alignment vertical="center" wrapText="1"/>
    </xf>
    <xf numFmtId="167" fontId="26" fillId="0" borderId="59" xfId="3" applyNumberFormat="1" applyFont="1" applyFill="1" applyBorder="1" applyAlignment="1">
      <alignment horizontal="right" vertical="center" wrapText="1"/>
    </xf>
    <xf numFmtId="43" fontId="27" fillId="0" borderId="59" xfId="0" applyNumberFormat="1" applyFont="1" applyFill="1" applyBorder="1" applyAlignment="1">
      <alignment horizontal="center" vertical="center" wrapText="1"/>
    </xf>
    <xf numFmtId="43" fontId="18" fillId="0" borderId="59" xfId="0" applyNumberFormat="1" applyFont="1" applyFill="1" applyBorder="1" applyAlignment="1">
      <alignment vertical="center" wrapText="1"/>
    </xf>
    <xf numFmtId="0" fontId="26" fillId="0" borderId="58" xfId="4" applyFont="1" applyFill="1" applyBorder="1">
      <alignment horizontal="left" vertical="center" wrapText="1"/>
    </xf>
    <xf numFmtId="4" fontId="23" fillId="0" borderId="59" xfId="0" applyNumberFormat="1" applyFont="1" applyFill="1" applyBorder="1" applyAlignment="1">
      <alignment horizontal="right" vertical="center" wrapText="1"/>
    </xf>
    <xf numFmtId="167" fontId="18" fillId="0" borderId="60" xfId="1" applyNumberFormat="1" applyFont="1" applyFill="1" applyBorder="1" applyAlignment="1">
      <alignment vertical="center" wrapText="1"/>
    </xf>
    <xf numFmtId="167" fontId="23" fillId="0" borderId="59" xfId="0" applyNumberFormat="1" applyFont="1" applyFill="1" applyBorder="1" applyAlignment="1">
      <alignment horizontal="right" vertical="center" wrapText="1"/>
    </xf>
    <xf numFmtId="43" fontId="18" fillId="0" borderId="60" xfId="1" applyFont="1" applyFill="1" applyBorder="1" applyAlignment="1">
      <alignment vertical="center" wrapText="1"/>
    </xf>
    <xf numFmtId="0" fontId="18" fillId="0" borderId="59" xfId="0" applyFont="1" applyFill="1" applyBorder="1" applyAlignment="1">
      <alignment vertical="center" wrapText="1"/>
    </xf>
    <xf numFmtId="4" fontId="18" fillId="0" borderId="59" xfId="0" applyNumberFormat="1" applyFont="1" applyFill="1" applyBorder="1" applyAlignment="1">
      <alignment vertical="center" wrapText="1"/>
    </xf>
    <xf numFmtId="0" fontId="18" fillId="0" borderId="59" xfId="0" applyFont="1" applyFill="1" applyBorder="1"/>
    <xf numFmtId="0" fontId="22" fillId="0" borderId="59" xfId="0" applyFont="1" applyFill="1" applyBorder="1" applyAlignment="1">
      <alignment horizontal="center" vertical="center" wrapText="1"/>
    </xf>
    <xf numFmtId="0" fontId="26" fillId="0" borderId="59" xfId="4" applyFont="1" applyFill="1" applyBorder="1">
      <alignment horizontal="left" vertical="center" wrapText="1"/>
    </xf>
    <xf numFmtId="43" fontId="18" fillId="0" borderId="59" xfId="1" applyFont="1" applyFill="1" applyBorder="1" applyAlignment="1">
      <alignment vertical="center" wrapText="1"/>
    </xf>
    <xf numFmtId="43" fontId="23" fillId="0" borderId="59" xfId="1" applyFont="1" applyFill="1" applyBorder="1" applyAlignment="1">
      <alignment vertical="center"/>
    </xf>
    <xf numFmtId="0" fontId="18" fillId="0" borderId="60" xfId="0" applyFont="1" applyFill="1" applyBorder="1" applyAlignment="1">
      <alignment vertical="center" wrapText="1"/>
    </xf>
    <xf numFmtId="164" fontId="26" fillId="0" borderId="59" xfId="3" applyFont="1" applyFill="1" applyBorder="1" applyAlignment="1">
      <alignment horizontal="right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26" fillId="0" borderId="59" xfId="2" applyFont="1" applyFill="1" applyBorder="1">
      <alignment horizontal="left" vertical="center" wrapText="1"/>
    </xf>
    <xf numFmtId="0" fontId="26" fillId="0" borderId="61" xfId="2" applyFont="1" applyFill="1" applyBorder="1">
      <alignment horizontal="left" vertical="center" wrapText="1"/>
    </xf>
    <xf numFmtId="169" fontId="23" fillId="0" borderId="59" xfId="1" applyNumberFormat="1" applyFont="1" applyFill="1" applyBorder="1" applyAlignment="1">
      <alignment vertical="center"/>
    </xf>
    <xf numFmtId="167" fontId="18" fillId="0" borderId="60" xfId="0" applyNumberFormat="1" applyFont="1" applyFill="1" applyBorder="1" applyAlignment="1">
      <alignment vertical="center" wrapText="1"/>
    </xf>
    <xf numFmtId="4" fontId="26" fillId="0" borderId="59" xfId="2" applyNumberFormat="1" applyFont="1" applyFill="1" applyBorder="1" applyAlignment="1">
      <alignment horizontal="right" vertical="center"/>
    </xf>
    <xf numFmtId="0" fontId="26" fillId="0" borderId="59" xfId="2" applyFont="1" applyFill="1" applyBorder="1" applyAlignment="1">
      <alignment horizontal="left" vertical="center"/>
    </xf>
    <xf numFmtId="167" fontId="23" fillId="0" borderId="59" xfId="0" applyNumberFormat="1" applyFont="1" applyFill="1" applyBorder="1" applyAlignment="1">
      <alignment horizontal="center" vertical="center" wrapText="1"/>
    </xf>
    <xf numFmtId="164" fontId="26" fillId="0" borderId="59" xfId="3" applyFont="1" applyFill="1" applyBorder="1" applyAlignment="1">
      <alignment vertical="center" wrapText="1"/>
    </xf>
    <xf numFmtId="4" fontId="26" fillId="0" borderId="59" xfId="0" applyNumberFormat="1" applyFont="1" applyFill="1" applyBorder="1" applyAlignment="1">
      <alignment vertical="center"/>
    </xf>
    <xf numFmtId="0" fontId="18" fillId="0" borderId="60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vertical="center" wrapText="1"/>
    </xf>
    <xf numFmtId="43" fontId="18" fillId="0" borderId="59" xfId="1" applyFont="1" applyFill="1" applyBorder="1" applyAlignment="1">
      <alignment vertical="center"/>
    </xf>
    <xf numFmtId="164" fontId="23" fillId="0" borderId="59" xfId="1" applyNumberFormat="1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vertical="center"/>
    </xf>
    <xf numFmtId="0" fontId="18" fillId="0" borderId="59" xfId="1" applyNumberFormat="1" applyFont="1" applyFill="1" applyBorder="1" applyAlignment="1">
      <alignment horizontal="center" vertical="center" wrapText="1"/>
    </xf>
    <xf numFmtId="0" fontId="18" fillId="0" borderId="56" xfId="1" applyNumberFormat="1" applyFont="1" applyFill="1" applyBorder="1" applyAlignment="1">
      <alignment horizontal="center" vertical="center" wrapText="1"/>
    </xf>
    <xf numFmtId="43" fontId="18" fillId="0" borderId="56" xfId="1" applyNumberFormat="1" applyFont="1" applyFill="1" applyBorder="1" applyAlignment="1">
      <alignment horizontal="center" vertical="center" wrapText="1"/>
    </xf>
    <xf numFmtId="43" fontId="26" fillId="0" borderId="56" xfId="1" applyFont="1" applyFill="1" applyBorder="1" applyAlignment="1">
      <alignment horizontal="right" vertical="center" wrapText="1"/>
    </xf>
    <xf numFmtId="43" fontId="26" fillId="0" borderId="56" xfId="0" applyNumberFormat="1" applyFont="1" applyFill="1" applyBorder="1" applyAlignment="1">
      <alignment vertical="center" wrapText="1"/>
    </xf>
    <xf numFmtId="43" fontId="18" fillId="0" borderId="56" xfId="0" applyNumberFormat="1" applyFont="1" applyFill="1" applyBorder="1" applyAlignment="1">
      <alignment horizontal="center" vertical="center" wrapText="1"/>
    </xf>
    <xf numFmtId="43" fontId="18" fillId="0" borderId="60" xfId="0" applyNumberFormat="1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43" fontId="18" fillId="0" borderId="60" xfId="0" applyNumberFormat="1" applyFont="1" applyFill="1" applyBorder="1" applyAlignment="1">
      <alignment vertical="center" wrapText="1"/>
    </xf>
    <xf numFmtId="43" fontId="26" fillId="0" borderId="60" xfId="1" applyFont="1" applyFill="1" applyBorder="1" applyAlignment="1">
      <alignment vertical="center" wrapText="1"/>
    </xf>
    <xf numFmtId="0" fontId="18" fillId="0" borderId="62" xfId="0" applyFont="1" applyFill="1" applyBorder="1" applyAlignment="1">
      <alignment vertical="center" wrapText="1"/>
    </xf>
    <xf numFmtId="164" fontId="26" fillId="0" borderId="63" xfId="3" applyFont="1" applyFill="1" applyBorder="1" applyAlignment="1">
      <alignment horizontal="right" vertical="center" wrapText="1"/>
    </xf>
    <xf numFmtId="43" fontId="18" fillId="0" borderId="63" xfId="1" applyFont="1" applyFill="1" applyBorder="1" applyAlignment="1">
      <alignment vertical="center" wrapText="1"/>
    </xf>
    <xf numFmtId="43" fontId="23" fillId="0" borderId="56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4" fontId="26" fillId="0" borderId="56" xfId="0" applyNumberFormat="1" applyFont="1" applyFill="1" applyBorder="1" applyAlignment="1">
      <alignment horizontal="center" vertical="center"/>
    </xf>
    <xf numFmtId="43" fontId="18" fillId="0" borderId="62" xfId="1" applyFont="1" applyFill="1" applyBorder="1" applyAlignment="1">
      <alignment vertical="center" wrapText="1"/>
    </xf>
    <xf numFmtId="164" fontId="26" fillId="0" borderId="60" xfId="3" applyFont="1" applyFill="1" applyBorder="1" applyAlignment="1">
      <alignment horizontal="right" vertical="center" wrapText="1"/>
    </xf>
    <xf numFmtId="0" fontId="26" fillId="0" borderId="56" xfId="2" applyFont="1" applyFill="1" applyBorder="1" applyAlignment="1">
      <alignment vertical="center"/>
    </xf>
    <xf numFmtId="0" fontId="24" fillId="0" borderId="56" xfId="0" applyFont="1" applyFill="1" applyBorder="1" applyAlignment="1">
      <alignment horizontal="center" vertical="center" wrapText="1"/>
    </xf>
    <xf numFmtId="167" fontId="18" fillId="0" borderId="56" xfId="1" applyNumberFormat="1" applyFont="1" applyFill="1" applyBorder="1" applyAlignment="1">
      <alignment horizontal="right" vertical="center" wrapText="1"/>
    </xf>
    <xf numFmtId="0" fontId="26" fillId="0" borderId="56" xfId="2" applyFont="1" applyFill="1" applyBorder="1" applyAlignment="1">
      <alignment horizontal="left" vertical="center"/>
    </xf>
    <xf numFmtId="164" fontId="26" fillId="0" borderId="64" xfId="3" applyFont="1" applyFill="1" applyBorder="1" applyAlignment="1">
      <alignment horizontal="right" vertical="center" wrapText="1"/>
    </xf>
    <xf numFmtId="43" fontId="18" fillId="0" borderId="65" xfId="1" applyFont="1" applyFill="1" applyBorder="1" applyAlignment="1">
      <alignment vertical="center" wrapText="1"/>
    </xf>
    <xf numFmtId="0" fontId="18" fillId="0" borderId="65" xfId="0" applyFont="1" applyFill="1" applyBorder="1" applyAlignment="1">
      <alignment vertical="center" wrapText="1"/>
    </xf>
    <xf numFmtId="43" fontId="18" fillId="0" borderId="66" xfId="1" applyFont="1" applyFill="1" applyBorder="1" applyAlignment="1">
      <alignment vertical="center" wrapText="1"/>
    </xf>
    <xf numFmtId="164" fontId="26" fillId="0" borderId="66" xfId="3" applyFont="1" applyFill="1" applyBorder="1" applyAlignment="1">
      <alignment horizontal="right" vertical="center" wrapText="1"/>
    </xf>
    <xf numFmtId="43" fontId="18" fillId="0" borderId="66" xfId="0" applyNumberFormat="1" applyFont="1" applyFill="1" applyBorder="1" applyAlignment="1">
      <alignment vertical="center" wrapText="1"/>
    </xf>
    <xf numFmtId="0" fontId="18" fillId="0" borderId="66" xfId="0" applyFont="1" applyFill="1" applyBorder="1" applyAlignment="1">
      <alignment vertical="center" wrapText="1"/>
    </xf>
    <xf numFmtId="0" fontId="18" fillId="0" borderId="66" xfId="0" applyFont="1" applyFill="1" applyBorder="1" applyAlignment="1">
      <alignment horizontal="center" vertical="center" wrapText="1"/>
    </xf>
    <xf numFmtId="43" fontId="18" fillId="0" borderId="66" xfId="1" applyFont="1" applyFill="1" applyBorder="1" applyAlignment="1">
      <alignment horizontal="center" vertical="center" wrapText="1"/>
    </xf>
    <xf numFmtId="43" fontId="23" fillId="0" borderId="66" xfId="1" applyFont="1" applyFill="1" applyBorder="1" applyAlignment="1">
      <alignment vertical="center"/>
    </xf>
    <xf numFmtId="0" fontId="26" fillId="0" borderId="66" xfId="2" applyFont="1" applyFill="1" applyBorder="1">
      <alignment horizontal="left" vertical="center" wrapText="1"/>
    </xf>
    <xf numFmtId="4" fontId="23" fillId="0" borderId="66" xfId="0" applyNumberFormat="1" applyFont="1" applyFill="1" applyBorder="1" applyAlignment="1">
      <alignment horizontal="center" vertical="center"/>
    </xf>
    <xf numFmtId="0" fontId="26" fillId="0" borderId="66" xfId="4" applyFont="1" applyFill="1" applyBorder="1">
      <alignment horizontal="left" vertical="center" wrapText="1"/>
    </xf>
    <xf numFmtId="4" fontId="23" fillId="0" borderId="66" xfId="0" applyNumberFormat="1" applyFont="1" applyFill="1" applyBorder="1" applyAlignment="1">
      <alignment horizontal="right" vertical="center" wrapText="1"/>
    </xf>
    <xf numFmtId="167" fontId="18" fillId="0" borderId="66" xfId="0" applyNumberFormat="1" applyFont="1" applyFill="1" applyBorder="1" applyAlignment="1">
      <alignment vertical="center" wrapText="1"/>
    </xf>
    <xf numFmtId="167" fontId="18" fillId="0" borderId="65" xfId="1" applyNumberFormat="1" applyFont="1" applyFill="1" applyBorder="1" applyAlignment="1">
      <alignment vertical="center" wrapText="1"/>
    </xf>
    <xf numFmtId="167" fontId="23" fillId="0" borderId="66" xfId="1" applyNumberFormat="1" applyFont="1" applyFill="1" applyBorder="1" applyAlignment="1">
      <alignment vertical="center"/>
    </xf>
    <xf numFmtId="167" fontId="18" fillId="0" borderId="66" xfId="1" applyNumberFormat="1" applyFont="1" applyFill="1" applyBorder="1" applyAlignment="1">
      <alignment vertical="center" wrapText="1"/>
    </xf>
    <xf numFmtId="167" fontId="23" fillId="0" borderId="66" xfId="0" applyNumberFormat="1" applyFont="1" applyFill="1" applyBorder="1" applyAlignment="1">
      <alignment horizontal="right" vertical="center" wrapText="1"/>
    </xf>
    <xf numFmtId="41" fontId="18" fillId="0" borderId="66" xfId="0" applyNumberFormat="1" applyFont="1" applyFill="1" applyBorder="1" applyAlignment="1">
      <alignment vertical="center" wrapText="1"/>
    </xf>
    <xf numFmtId="167" fontId="26" fillId="0" borderId="66" xfId="3" applyNumberFormat="1" applyFont="1" applyFill="1" applyBorder="1" applyAlignment="1">
      <alignment horizontal="right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18" fillId="0" borderId="66" xfId="0" applyFont="1" applyFill="1" applyBorder="1"/>
    <xf numFmtId="0" fontId="22" fillId="0" borderId="66" xfId="0" applyFont="1" applyFill="1" applyBorder="1" applyAlignment="1">
      <alignment horizontal="center" vertical="center" wrapText="1"/>
    </xf>
    <xf numFmtId="41" fontId="18" fillId="0" borderId="66" xfId="1" applyNumberFormat="1" applyFont="1" applyFill="1" applyBorder="1" applyAlignment="1">
      <alignment vertical="center" wrapText="1"/>
    </xf>
    <xf numFmtId="41" fontId="23" fillId="0" borderId="51" xfId="1" applyNumberFormat="1" applyFont="1" applyFill="1" applyBorder="1" applyAlignment="1">
      <alignment vertical="center"/>
    </xf>
    <xf numFmtId="41" fontId="18" fillId="0" borderId="51" xfId="0" applyNumberFormat="1" applyFont="1" applyFill="1" applyBorder="1" applyAlignment="1">
      <alignment vertical="center" wrapText="1"/>
    </xf>
    <xf numFmtId="0" fontId="18" fillId="0" borderId="51" xfId="0" applyFont="1" applyFill="1" applyBorder="1" applyAlignment="1">
      <alignment vertical="center"/>
    </xf>
    <xf numFmtId="164" fontId="26" fillId="0" borderId="51" xfId="3" applyFont="1" applyFill="1" applyBorder="1" applyAlignment="1">
      <alignment vertical="center" wrapText="1"/>
    </xf>
    <xf numFmtId="43" fontId="18" fillId="0" borderId="53" xfId="0" applyNumberFormat="1" applyFont="1" applyFill="1" applyBorder="1" applyAlignment="1">
      <alignment horizontal="center" vertical="center" wrapText="1"/>
    </xf>
    <xf numFmtId="43" fontId="23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" fontId="18" fillId="0" borderId="51" xfId="4" applyNumberFormat="1" applyFont="1" applyFill="1" applyBorder="1">
      <alignment horizontal="left" vertical="center" wrapText="1"/>
    </xf>
    <xf numFmtId="43" fontId="18" fillId="0" borderId="51" xfId="1" applyNumberFormat="1" applyFont="1" applyFill="1" applyBorder="1" applyAlignment="1">
      <alignment horizontal="center" vertical="center" wrapText="1"/>
    </xf>
    <xf numFmtId="0" fontId="18" fillId="0" borderId="51" xfId="1" applyNumberFormat="1" applyFont="1" applyFill="1" applyBorder="1" applyAlignment="1">
      <alignment horizontal="center" vertical="center" wrapText="1"/>
    </xf>
    <xf numFmtId="164" fontId="26" fillId="0" borderId="51" xfId="1" applyNumberFormat="1" applyFont="1" applyFill="1" applyBorder="1" applyAlignment="1">
      <alignment horizontal="right" vertical="center" wrapText="1"/>
    </xf>
    <xf numFmtId="4" fontId="23" fillId="0" borderId="51" xfId="0" applyNumberFormat="1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left" vertical="center" wrapText="1"/>
    </xf>
    <xf numFmtId="41" fontId="18" fillId="0" borderId="2" xfId="0" applyNumberFormat="1" applyFont="1" applyFill="1" applyBorder="1" applyAlignment="1">
      <alignment vertical="center" wrapText="1"/>
    </xf>
    <xf numFmtId="41" fontId="18" fillId="0" borderId="51" xfId="0" applyNumberFormat="1" applyFont="1" applyFill="1" applyBorder="1" applyAlignment="1">
      <alignment horizontal="center" vertical="center" wrapText="1"/>
    </xf>
    <xf numFmtId="41" fontId="18" fillId="0" borderId="56" xfId="1" applyNumberFormat="1" applyFont="1" applyFill="1" applyBorder="1" applyAlignment="1">
      <alignment horizontal="center" vertical="center" wrapText="1"/>
    </xf>
    <xf numFmtId="41" fontId="18" fillId="0" borderId="56" xfId="0" applyNumberFormat="1" applyFont="1" applyFill="1" applyBorder="1" applyAlignment="1">
      <alignment horizontal="center" vertical="center" wrapText="1"/>
    </xf>
    <xf numFmtId="41" fontId="18" fillId="0" borderId="1" xfId="0" applyNumberFormat="1" applyFont="1" applyFill="1" applyBorder="1" applyAlignment="1">
      <alignment vertical="center" wrapText="1"/>
    </xf>
    <xf numFmtId="41" fontId="18" fillId="0" borderId="56" xfId="0" applyNumberFormat="1" applyFont="1" applyFill="1" applyBorder="1" applyAlignment="1">
      <alignment vertical="center" wrapText="1"/>
    </xf>
    <xf numFmtId="41" fontId="18" fillId="0" borderId="40" xfId="1" applyNumberFormat="1" applyFont="1" applyFill="1" applyBorder="1" applyAlignment="1">
      <alignment vertical="center" wrapText="1"/>
    </xf>
    <xf numFmtId="41" fontId="18" fillId="0" borderId="40" xfId="0" applyNumberFormat="1" applyFont="1" applyFill="1" applyBorder="1" applyAlignment="1">
      <alignment vertical="center" wrapText="1"/>
    </xf>
    <xf numFmtId="41" fontId="18" fillId="0" borderId="21" xfId="0" applyNumberFormat="1" applyFont="1" applyFill="1" applyBorder="1" applyAlignment="1">
      <alignment vertical="center" wrapText="1"/>
    </xf>
    <xf numFmtId="41" fontId="18" fillId="0" borderId="45" xfId="0" applyNumberFormat="1" applyFont="1" applyFill="1" applyBorder="1" applyAlignment="1">
      <alignment vertical="center" wrapText="1"/>
    </xf>
    <xf numFmtId="4" fontId="26" fillId="0" borderId="51" xfId="0" applyNumberFormat="1" applyFont="1" applyFill="1" applyBorder="1" applyAlignment="1">
      <alignment horizontal="right" vertical="center"/>
    </xf>
    <xf numFmtId="4" fontId="26" fillId="0" borderId="51" xfId="0" applyNumberFormat="1" applyFont="1" applyFill="1" applyBorder="1" applyAlignment="1">
      <alignment vertical="center"/>
    </xf>
    <xf numFmtId="43" fontId="18" fillId="0" borderId="56" xfId="1" applyFont="1" applyFill="1" applyBorder="1" applyAlignment="1">
      <alignment horizontal="right" vertical="center" wrapText="1"/>
    </xf>
    <xf numFmtId="4" fontId="26" fillId="0" borderId="57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 wrapText="1"/>
    </xf>
    <xf numFmtId="1" fontId="26" fillId="0" borderId="57" xfId="0" applyNumberFormat="1" applyFont="1" applyFill="1" applyBorder="1" applyAlignment="1">
      <alignment horizontal="center" vertical="center" wrapText="1"/>
    </xf>
    <xf numFmtId="2" fontId="26" fillId="0" borderId="56" xfId="0" applyNumberFormat="1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6" fillId="0" borderId="57" xfId="2" applyFont="1" applyFill="1" applyBorder="1">
      <alignment horizontal="left" vertical="center" wrapText="1"/>
    </xf>
    <xf numFmtId="164" fontId="18" fillId="0" borderId="56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vertical="center" wrapText="1"/>
    </xf>
    <xf numFmtId="0" fontId="5" fillId="0" borderId="56" xfId="0" applyFont="1" applyFill="1" applyBorder="1" applyAlignment="1">
      <alignment vertical="center" wrapText="1"/>
    </xf>
    <xf numFmtId="164" fontId="26" fillId="0" borderId="56" xfId="1" applyNumberFormat="1" applyFont="1" applyFill="1" applyBorder="1" applyAlignment="1">
      <alignment horizontal="right" vertical="center" wrapText="1"/>
    </xf>
    <xf numFmtId="43" fontId="5" fillId="0" borderId="56" xfId="1" applyFont="1" applyFill="1" applyBorder="1" applyAlignment="1">
      <alignment vertical="center" wrapText="1"/>
    </xf>
    <xf numFmtId="43" fontId="18" fillId="0" borderId="57" xfId="0" applyNumberFormat="1" applyFont="1" applyFill="1" applyBorder="1" applyAlignment="1">
      <alignment horizontal="center" vertical="center" wrapText="1"/>
    </xf>
    <xf numFmtId="43" fontId="24" fillId="0" borderId="56" xfId="0" applyNumberFormat="1" applyFont="1" applyFill="1" applyBorder="1" applyAlignment="1">
      <alignment horizontal="center" vertical="center" wrapText="1"/>
    </xf>
    <xf numFmtId="164" fontId="26" fillId="0" borderId="67" xfId="3" applyFont="1" applyFill="1" applyBorder="1" applyAlignment="1">
      <alignment horizontal="right" vertical="center" wrapText="1"/>
    </xf>
    <xf numFmtId="43" fontId="18" fillId="0" borderId="68" xfId="1" applyFont="1" applyFill="1" applyBorder="1" applyAlignment="1">
      <alignment vertical="center" wrapText="1"/>
    </xf>
    <xf numFmtId="0" fontId="18" fillId="0" borderId="68" xfId="0" applyFont="1" applyFill="1" applyBorder="1" applyAlignment="1">
      <alignment vertical="center" wrapText="1"/>
    </xf>
    <xf numFmtId="43" fontId="18" fillId="0" borderId="69" xfId="1" applyFont="1" applyFill="1" applyBorder="1" applyAlignment="1">
      <alignment vertical="center" wrapText="1"/>
    </xf>
    <xf numFmtId="0" fontId="18" fillId="0" borderId="69" xfId="0" applyFont="1" applyFill="1" applyBorder="1" applyAlignment="1">
      <alignment vertical="center" wrapText="1"/>
    </xf>
    <xf numFmtId="43" fontId="23" fillId="0" borderId="69" xfId="1" applyFont="1" applyFill="1" applyBorder="1" applyAlignment="1">
      <alignment vertical="center"/>
    </xf>
    <xf numFmtId="164" fontId="26" fillId="0" borderId="69" xfId="3" applyFont="1" applyFill="1" applyBorder="1" applyAlignment="1">
      <alignment horizontal="right" vertical="center" wrapText="1"/>
    </xf>
    <xf numFmtId="43" fontId="18" fillId="0" borderId="69" xfId="0" applyNumberFormat="1" applyFont="1" applyFill="1" applyBorder="1" applyAlignment="1">
      <alignment vertical="center" wrapText="1"/>
    </xf>
    <xf numFmtId="0" fontId="18" fillId="0" borderId="69" xfId="0" applyFont="1" applyFill="1" applyBorder="1" applyAlignment="1">
      <alignment horizontal="center" vertical="center" wrapText="1"/>
    </xf>
    <xf numFmtId="0" fontId="26" fillId="0" borderId="69" xfId="2" applyFont="1" applyFill="1" applyBorder="1">
      <alignment horizontal="left" vertical="center" wrapText="1"/>
    </xf>
    <xf numFmtId="43" fontId="18" fillId="0" borderId="69" xfId="1" applyFont="1" applyFill="1" applyBorder="1" applyAlignment="1">
      <alignment horizontal="center" vertical="center" wrapText="1"/>
    </xf>
    <xf numFmtId="43" fontId="18" fillId="0" borderId="68" xfId="0" applyNumberFormat="1" applyFont="1" applyFill="1" applyBorder="1" applyAlignment="1">
      <alignment horizontal="center" vertical="center" wrapText="1"/>
    </xf>
    <xf numFmtId="43" fontId="18" fillId="0" borderId="69" xfId="0" applyNumberFormat="1" applyFont="1" applyFill="1" applyBorder="1" applyAlignment="1">
      <alignment horizontal="center" vertical="center" wrapText="1"/>
    </xf>
    <xf numFmtId="43" fontId="23" fillId="0" borderId="69" xfId="0" applyNumberFormat="1" applyFont="1" applyFill="1" applyBorder="1" applyAlignment="1">
      <alignment horizontal="center" vertical="center"/>
    </xf>
    <xf numFmtId="164" fontId="26" fillId="0" borderId="68" xfId="1" applyNumberFormat="1" applyFont="1" applyFill="1" applyBorder="1" applyAlignment="1">
      <alignment horizontal="right" vertical="center" wrapText="1"/>
    </xf>
    <xf numFmtId="43" fontId="18" fillId="0" borderId="68" xfId="1" applyNumberFormat="1" applyFont="1" applyFill="1" applyBorder="1" applyAlignment="1">
      <alignment vertical="center" wrapText="1"/>
    </xf>
    <xf numFmtId="164" fontId="26" fillId="0" borderId="70" xfId="3" applyFont="1" applyFill="1" applyBorder="1" applyAlignment="1">
      <alignment horizontal="right" vertical="center" wrapText="1"/>
    </xf>
    <xf numFmtId="43" fontId="22" fillId="0" borderId="0" xfId="0" applyNumberFormat="1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Fill="1" applyAlignment="1">
      <alignment vertical="center" wrapText="1"/>
    </xf>
    <xf numFmtId="164" fontId="26" fillId="0" borderId="69" xfId="1" applyNumberFormat="1" applyFont="1" applyFill="1" applyBorder="1" applyAlignment="1">
      <alignment horizontal="right" vertical="center" wrapText="1"/>
    </xf>
    <xf numFmtId="43" fontId="18" fillId="0" borderId="68" xfId="0" applyNumberFormat="1" applyFont="1" applyFill="1" applyBorder="1" applyAlignment="1">
      <alignment vertical="center" wrapText="1"/>
    </xf>
    <xf numFmtId="43" fontId="18" fillId="0" borderId="69" xfId="1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68" xfId="0" applyNumberFormat="1" applyFont="1" applyFill="1" applyBorder="1" applyAlignment="1">
      <alignment horizontal="right" vertical="center" wrapText="1"/>
    </xf>
    <xf numFmtId="0" fontId="26" fillId="0" borderId="69" xfId="4" applyFont="1" applyFill="1" applyBorder="1">
      <alignment horizontal="left" vertical="center" wrapText="1"/>
    </xf>
    <xf numFmtId="164" fontId="23" fillId="0" borderId="69" xfId="1" applyNumberFormat="1" applyFont="1" applyFill="1" applyBorder="1" applyAlignment="1">
      <alignment horizontal="center" vertical="center"/>
    </xf>
    <xf numFmtId="43" fontId="27" fillId="0" borderId="69" xfId="0" applyNumberFormat="1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49" fontId="26" fillId="0" borderId="69" xfId="2" applyNumberFormat="1" applyFont="1" applyFill="1" applyBorder="1">
      <alignment horizontal="left" vertical="center" wrapText="1"/>
    </xf>
    <xf numFmtId="4" fontId="18" fillId="0" borderId="69" xfId="0" applyNumberFormat="1" applyFont="1" applyFill="1" applyBorder="1" applyAlignment="1">
      <alignment horizontal="center" vertical="center" wrapText="1"/>
    </xf>
    <xf numFmtId="166" fontId="26" fillId="0" borderId="69" xfId="2" applyNumberFormat="1" applyFont="1" applyFill="1" applyBorder="1" applyAlignment="1">
      <alignment vertical="center"/>
    </xf>
    <xf numFmtId="0" fontId="5" fillId="0" borderId="69" xfId="0" applyFont="1" applyFill="1" applyBorder="1" applyAlignment="1">
      <alignment vertical="center" wrapText="1"/>
    </xf>
    <xf numFmtId="0" fontId="26" fillId="0" borderId="69" xfId="2" applyFont="1" applyFill="1" applyBorder="1" applyAlignment="1">
      <alignment horizontal="left" vertical="center"/>
    </xf>
    <xf numFmtId="41" fontId="23" fillId="0" borderId="69" xfId="1" applyNumberFormat="1" applyFont="1" applyFill="1" applyBorder="1" applyAlignment="1">
      <alignment vertical="center"/>
    </xf>
    <xf numFmtId="167" fontId="18" fillId="0" borderId="69" xfId="1" applyNumberFormat="1" applyFont="1" applyFill="1" applyBorder="1" applyAlignment="1">
      <alignment vertical="center" wrapText="1"/>
    </xf>
    <xf numFmtId="167" fontId="23" fillId="0" borderId="69" xfId="0" applyNumberFormat="1" applyFont="1" applyFill="1" applyBorder="1" applyAlignment="1">
      <alignment horizontal="right" vertical="center" wrapText="1"/>
    </xf>
    <xf numFmtId="167" fontId="23" fillId="0" borderId="69" xfId="1" applyNumberFormat="1" applyFont="1" applyFill="1" applyBorder="1" applyAlignment="1">
      <alignment vertical="center"/>
    </xf>
    <xf numFmtId="167" fontId="18" fillId="0" borderId="69" xfId="0" applyNumberFormat="1" applyFont="1" applyFill="1" applyBorder="1" applyAlignment="1">
      <alignment vertical="center" wrapText="1"/>
    </xf>
    <xf numFmtId="167" fontId="18" fillId="0" borderId="68" xfId="1" applyNumberFormat="1" applyFont="1" applyFill="1" applyBorder="1" applyAlignment="1">
      <alignment vertical="center" wrapText="1"/>
    </xf>
    <xf numFmtId="167" fontId="18" fillId="0" borderId="68" xfId="0" applyNumberFormat="1" applyFont="1" applyFill="1" applyBorder="1" applyAlignment="1">
      <alignment vertical="center" wrapText="1"/>
    </xf>
    <xf numFmtId="167" fontId="26" fillId="0" borderId="69" xfId="3" applyNumberFormat="1" applyFont="1" applyFill="1" applyBorder="1" applyAlignment="1">
      <alignment horizontal="right" vertical="center" wrapText="1"/>
    </xf>
    <xf numFmtId="41" fontId="18" fillId="0" borderId="69" xfId="0" applyNumberFormat="1" applyFont="1" applyFill="1" applyBorder="1" applyAlignment="1">
      <alignment vertical="center" wrapText="1"/>
    </xf>
    <xf numFmtId="4" fontId="26" fillId="0" borderId="69" xfId="0" applyNumberFormat="1" applyFont="1" applyFill="1" applyBorder="1" applyAlignment="1">
      <alignment horizontal="right" vertical="center"/>
    </xf>
    <xf numFmtId="4" fontId="26" fillId="0" borderId="69" xfId="0" applyNumberFormat="1" applyFont="1" applyFill="1" applyBorder="1" applyAlignment="1">
      <alignment horizontal="right" vertical="center" wrapText="1"/>
    </xf>
    <xf numFmtId="43" fontId="18" fillId="0" borderId="69" xfId="1" applyFont="1" applyFill="1" applyBorder="1" applyAlignment="1">
      <alignment vertical="center"/>
    </xf>
    <xf numFmtId="4" fontId="26" fillId="0" borderId="68" xfId="0" applyNumberFormat="1" applyFont="1" applyFill="1" applyBorder="1" applyAlignment="1">
      <alignment horizontal="right" vertical="center"/>
    </xf>
    <xf numFmtId="4" fontId="26" fillId="0" borderId="69" xfId="1" applyNumberFormat="1" applyFont="1" applyFill="1" applyBorder="1" applyAlignment="1">
      <alignment horizontal="right" vertical="center"/>
    </xf>
    <xf numFmtId="4" fontId="26" fillId="0" borderId="69" xfId="1" applyNumberFormat="1" applyFont="1" applyFill="1" applyBorder="1" applyAlignment="1">
      <alignment horizontal="right" vertical="center" wrapText="1"/>
    </xf>
    <xf numFmtId="0" fontId="18" fillId="0" borderId="69" xfId="0" applyFont="1" applyFill="1" applyBorder="1" applyAlignment="1">
      <alignment vertical="center"/>
    </xf>
    <xf numFmtId="4" fontId="26" fillId="0" borderId="69" xfId="0" applyNumberFormat="1" applyFont="1" applyFill="1" applyBorder="1" applyAlignment="1">
      <alignment vertical="center"/>
    </xf>
    <xf numFmtId="164" fontId="26" fillId="0" borderId="69" xfId="3" applyFont="1" applyFill="1" applyBorder="1" applyAlignment="1">
      <alignment vertical="center" wrapText="1"/>
    </xf>
    <xf numFmtId="43" fontId="18" fillId="0" borderId="69" xfId="1" applyNumberFormat="1" applyFont="1" applyFill="1" applyBorder="1" applyAlignment="1">
      <alignment horizontal="center" vertical="center" wrapText="1"/>
    </xf>
    <xf numFmtId="0" fontId="18" fillId="0" borderId="69" xfId="1" applyNumberFormat="1" applyFont="1" applyFill="1" applyBorder="1" applyAlignment="1">
      <alignment horizontal="center" vertical="center" wrapText="1"/>
    </xf>
    <xf numFmtId="0" fontId="26" fillId="0" borderId="69" xfId="0" applyFont="1" applyFill="1" applyBorder="1" applyAlignment="1">
      <alignment horizontal="left" vertical="center" wrapText="1"/>
    </xf>
    <xf numFmtId="0" fontId="26" fillId="0" borderId="69" xfId="2" applyFont="1" applyFill="1" applyBorder="1" applyAlignment="1">
      <alignment vertical="center"/>
    </xf>
    <xf numFmtId="43" fontId="26" fillId="0" borderId="69" xfId="1" applyFont="1" applyFill="1" applyBorder="1" applyAlignment="1">
      <alignment vertical="center"/>
    </xf>
    <xf numFmtId="43" fontId="26" fillId="0" borderId="69" xfId="1" applyFont="1" applyFill="1" applyBorder="1" applyAlignment="1">
      <alignment vertical="center" wrapText="1"/>
    </xf>
    <xf numFmtId="43" fontId="26" fillId="0" borderId="68" xfId="1" applyFont="1" applyFill="1" applyBorder="1" applyAlignment="1">
      <alignment vertical="center" wrapText="1"/>
    </xf>
    <xf numFmtId="43" fontId="26" fillId="0" borderId="69" xfId="0" applyNumberFormat="1" applyFont="1" applyFill="1" applyBorder="1" applyAlignment="1">
      <alignment vertical="center" wrapText="1"/>
    </xf>
    <xf numFmtId="4" fontId="26" fillId="0" borderId="69" xfId="2" applyNumberFormat="1" applyFont="1" applyFill="1" applyBorder="1" applyAlignment="1">
      <alignment horizontal="right" vertical="center"/>
    </xf>
    <xf numFmtId="0" fontId="32" fillId="0" borderId="69" xfId="2" applyFont="1" applyFill="1" applyBorder="1" applyAlignment="1">
      <alignment vertical="center"/>
    </xf>
    <xf numFmtId="41" fontId="18" fillId="0" borderId="69" xfId="0" applyNumberFormat="1" applyFont="1" applyFill="1" applyBorder="1" applyAlignment="1">
      <alignment horizontal="center" vertical="center" wrapText="1"/>
    </xf>
    <xf numFmtId="41" fontId="18" fillId="0" borderId="68" xfId="0" applyNumberFormat="1" applyFont="1" applyFill="1" applyBorder="1" applyAlignment="1">
      <alignment vertical="center" wrapText="1"/>
    </xf>
    <xf numFmtId="41" fontId="27" fillId="0" borderId="69" xfId="0" applyNumberFormat="1" applyFont="1" applyFill="1" applyBorder="1" applyAlignment="1">
      <alignment horizontal="center" vertical="center" wrapText="1"/>
    </xf>
    <xf numFmtId="41" fontId="18" fillId="0" borderId="69" xfId="1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Alignment="1">
      <alignment vertical="center" wrapText="1"/>
    </xf>
    <xf numFmtId="164" fontId="26" fillId="0" borderId="33" xfId="3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43" fontId="18" fillId="0" borderId="72" xfId="1" applyFont="1" applyFill="1" applyBorder="1" applyAlignment="1">
      <alignment horizontal="center" vertical="center" wrapText="1"/>
    </xf>
    <xf numFmtId="43" fontId="18" fillId="0" borderId="72" xfId="0" applyNumberFormat="1" applyFont="1" applyFill="1" applyBorder="1" applyAlignment="1">
      <alignment horizontal="center" vertical="center" wrapText="1"/>
    </xf>
    <xf numFmtId="43" fontId="18" fillId="0" borderId="71" xfId="0" applyNumberFormat="1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41" fontId="18" fillId="0" borderId="71" xfId="0" applyNumberFormat="1" applyFont="1" applyFill="1" applyBorder="1" applyAlignment="1">
      <alignment horizontal="center" vertical="center" wrapText="1"/>
    </xf>
    <xf numFmtId="43" fontId="18" fillId="0" borderId="72" xfId="0" applyNumberFormat="1" applyFont="1" applyFill="1" applyBorder="1" applyAlignment="1">
      <alignment vertical="center" wrapText="1"/>
    </xf>
    <xf numFmtId="4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1" fontId="18" fillId="0" borderId="2" xfId="0" applyNumberFormat="1" applyFont="1" applyFill="1" applyBorder="1" applyAlignment="1">
      <alignment horizontal="right" vertical="center" wrapText="1"/>
    </xf>
    <xf numFmtId="43" fontId="18" fillId="0" borderId="72" xfId="1" applyFont="1" applyFill="1" applyBorder="1" applyAlignment="1">
      <alignment horizontal="right" vertical="center" wrapText="1"/>
    </xf>
    <xf numFmtId="43" fontId="18" fillId="0" borderId="72" xfId="1" applyFont="1" applyFill="1" applyBorder="1" applyAlignment="1">
      <alignment vertical="center" wrapText="1"/>
    </xf>
    <xf numFmtId="0" fontId="18" fillId="0" borderId="72" xfId="0" applyFont="1" applyFill="1" applyBorder="1" applyAlignment="1">
      <alignment vertical="center" wrapText="1"/>
    </xf>
    <xf numFmtId="43" fontId="18" fillId="0" borderId="71" xfId="1" applyFont="1" applyFill="1" applyBorder="1" applyAlignment="1">
      <alignment vertical="center" wrapText="1"/>
    </xf>
    <xf numFmtId="43" fontId="23" fillId="0" borderId="72" xfId="1" applyFont="1" applyFill="1" applyBorder="1" applyAlignment="1">
      <alignment vertical="center"/>
    </xf>
    <xf numFmtId="0" fontId="18" fillId="0" borderId="71" xfId="0" applyFont="1" applyFill="1" applyBorder="1" applyAlignment="1">
      <alignment vertical="center" wrapText="1"/>
    </xf>
    <xf numFmtId="164" fontId="26" fillId="0" borderId="72" xfId="3" applyFont="1" applyFill="1" applyBorder="1" applyAlignment="1">
      <alignment horizontal="right" vertical="center" wrapText="1"/>
    </xf>
    <xf numFmtId="0" fontId="26" fillId="0" borderId="72" xfId="2" applyFont="1" applyFill="1" applyBorder="1">
      <alignment horizontal="left" vertical="center" wrapText="1"/>
    </xf>
    <xf numFmtId="167" fontId="18" fillId="0" borderId="72" xfId="0" applyNumberFormat="1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left" vertical="center" wrapText="1"/>
    </xf>
    <xf numFmtId="43" fontId="18" fillId="0" borderId="71" xfId="0" applyNumberFormat="1" applyFont="1" applyFill="1" applyBorder="1" applyAlignment="1">
      <alignment vertical="center" wrapText="1"/>
    </xf>
    <xf numFmtId="167" fontId="26" fillId="0" borderId="72" xfId="0" applyNumberFormat="1" applyFont="1" applyFill="1" applyBorder="1" applyAlignment="1">
      <alignment horizontal="right" vertical="center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center" vertical="center" wrapText="1"/>
    </xf>
    <xf numFmtId="4" fontId="18" fillId="0" borderId="72" xfId="0" applyNumberFormat="1" applyFont="1" applyFill="1" applyBorder="1" applyAlignment="1">
      <alignment horizontal="right" vertical="center"/>
    </xf>
    <xf numFmtId="4" fontId="26" fillId="0" borderId="72" xfId="0" applyNumberFormat="1" applyFont="1" applyFill="1" applyBorder="1" applyAlignment="1">
      <alignment horizontal="right" vertical="center" wrapText="1"/>
    </xf>
    <xf numFmtId="0" fontId="18" fillId="0" borderId="71" xfId="0" applyFont="1" applyFill="1" applyBorder="1"/>
    <xf numFmtId="164" fontId="26" fillId="0" borderId="72" xfId="3" applyFont="1" applyFill="1" applyBorder="1" applyAlignment="1">
      <alignment horizontal="center" vertical="center" wrapText="1"/>
    </xf>
    <xf numFmtId="167" fontId="23" fillId="0" borderId="56" xfId="1" applyNumberFormat="1" applyFont="1" applyFill="1" applyBorder="1" applyAlignment="1">
      <alignment vertical="center"/>
    </xf>
    <xf numFmtId="167" fontId="26" fillId="0" borderId="56" xfId="3" applyNumberFormat="1" applyFont="1" applyFill="1" applyBorder="1" applyAlignment="1">
      <alignment horizontal="right" vertical="center" wrapText="1"/>
    </xf>
    <xf numFmtId="43" fontId="27" fillId="0" borderId="5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6" fillId="0" borderId="55" xfId="4" applyFont="1" applyFill="1" applyBorder="1">
      <alignment horizontal="left" vertical="center" wrapText="1"/>
    </xf>
    <xf numFmtId="4" fontId="23" fillId="0" borderId="56" xfId="0" applyNumberFormat="1" applyFont="1" applyFill="1" applyBorder="1" applyAlignment="1">
      <alignment horizontal="right" vertical="center" wrapText="1"/>
    </xf>
    <xf numFmtId="4" fontId="22" fillId="0" borderId="56" xfId="0" applyNumberFormat="1" applyFont="1" applyFill="1" applyBorder="1" applyAlignment="1">
      <alignment horizontal="center" vertical="center" wrapText="1"/>
    </xf>
    <xf numFmtId="0" fontId="26" fillId="0" borderId="56" xfId="4" applyFont="1" applyFill="1" applyBorder="1">
      <alignment horizontal="left" vertical="center" wrapText="1"/>
    </xf>
    <xf numFmtId="167" fontId="23" fillId="0" borderId="56" xfId="0" applyNumberFormat="1" applyFont="1" applyFill="1" applyBorder="1" applyAlignment="1">
      <alignment horizontal="right" vertical="center" wrapText="1"/>
    </xf>
    <xf numFmtId="167" fontId="26" fillId="0" borderId="72" xfId="3" applyNumberFormat="1" applyFont="1" applyFill="1" applyBorder="1" applyAlignment="1">
      <alignment horizontal="right" vertical="center" wrapText="1"/>
    </xf>
    <xf numFmtId="167" fontId="18" fillId="0" borderId="72" xfId="1" applyNumberFormat="1" applyFont="1" applyFill="1" applyBorder="1" applyAlignment="1">
      <alignment vertical="center" wrapText="1"/>
    </xf>
    <xf numFmtId="167" fontId="23" fillId="0" borderId="72" xfId="1" applyNumberFormat="1" applyFont="1" applyFill="1" applyBorder="1" applyAlignment="1">
      <alignment vertical="center"/>
    </xf>
    <xf numFmtId="169" fontId="23" fillId="0" borderId="72" xfId="1" applyNumberFormat="1" applyFont="1" applyFill="1" applyBorder="1" applyAlignment="1">
      <alignment vertical="center"/>
    </xf>
    <xf numFmtId="4" fontId="26" fillId="0" borderId="72" xfId="2" applyNumberFormat="1" applyFont="1" applyFill="1" applyBorder="1" applyAlignment="1">
      <alignment horizontal="right" vertical="center"/>
    </xf>
    <xf numFmtId="167" fontId="23" fillId="0" borderId="72" xfId="0" applyNumberFormat="1" applyFont="1" applyFill="1" applyBorder="1" applyAlignment="1">
      <alignment horizontal="right" vertical="center" wrapText="1"/>
    </xf>
    <xf numFmtId="167" fontId="18" fillId="0" borderId="72" xfId="0" applyNumberFormat="1" applyFont="1" applyFill="1" applyBorder="1" applyAlignment="1">
      <alignment vertical="center" wrapText="1"/>
    </xf>
    <xf numFmtId="167" fontId="18" fillId="0" borderId="71" xfId="1" applyNumberFormat="1" applyFont="1" applyFill="1" applyBorder="1" applyAlignment="1">
      <alignment vertical="center" wrapText="1"/>
    </xf>
    <xf numFmtId="167" fontId="18" fillId="0" borderId="71" xfId="0" applyNumberFormat="1" applyFont="1" applyFill="1" applyBorder="1" applyAlignment="1">
      <alignment vertical="center" wrapText="1"/>
    </xf>
    <xf numFmtId="43" fontId="23" fillId="0" borderId="72" xfId="0" applyNumberFormat="1" applyFont="1" applyFill="1" applyBorder="1" applyAlignment="1">
      <alignment horizontal="right" vertical="center" wrapText="1"/>
    </xf>
    <xf numFmtId="0" fontId="26" fillId="0" borderId="72" xfId="2" applyFont="1" applyFill="1" applyBorder="1" applyAlignment="1">
      <alignment horizontal="left" vertical="center"/>
    </xf>
    <xf numFmtId="164" fontId="26" fillId="0" borderId="72" xfId="3" applyFont="1" applyFill="1" applyBorder="1" applyAlignment="1">
      <alignment vertical="center" wrapText="1"/>
    </xf>
    <xf numFmtId="4" fontId="26" fillId="0" borderId="72" xfId="0" applyNumberFormat="1" applyFont="1" applyFill="1" applyBorder="1" applyAlignment="1">
      <alignment vertical="center"/>
    </xf>
    <xf numFmtId="0" fontId="18" fillId="0" borderId="71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vertical="center" wrapText="1"/>
    </xf>
    <xf numFmtId="43" fontId="18" fillId="0" borderId="72" xfId="1" applyFont="1" applyFill="1" applyBorder="1" applyAlignment="1">
      <alignment vertical="center"/>
    </xf>
    <xf numFmtId="164" fontId="23" fillId="0" borderId="72" xfId="1" applyNumberFormat="1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left" vertical="center"/>
    </xf>
    <xf numFmtId="43" fontId="18" fillId="0" borderId="72" xfId="1" applyNumberFormat="1" applyFont="1" applyFill="1" applyBorder="1" applyAlignment="1">
      <alignment horizontal="center" vertical="center" wrapText="1"/>
    </xf>
    <xf numFmtId="43" fontId="23" fillId="0" borderId="72" xfId="0" applyNumberFormat="1" applyFont="1" applyFill="1" applyBorder="1" applyAlignment="1">
      <alignment horizontal="center" vertical="center"/>
    </xf>
    <xf numFmtId="39" fontId="18" fillId="0" borderId="72" xfId="0" applyNumberFormat="1" applyFont="1" applyFill="1" applyBorder="1" applyAlignment="1">
      <alignment vertical="center" wrapText="1"/>
    </xf>
    <xf numFmtId="0" fontId="18" fillId="0" borderId="72" xfId="1" applyNumberFormat="1" applyFont="1" applyFill="1" applyBorder="1" applyAlignment="1">
      <alignment horizontal="center" vertical="center" wrapText="1"/>
    </xf>
    <xf numFmtId="4" fontId="23" fillId="0" borderId="72" xfId="0" applyNumberFormat="1" applyFont="1" applyFill="1" applyBorder="1" applyAlignment="1">
      <alignment horizontal="center" vertical="center"/>
    </xf>
    <xf numFmtId="0" fontId="18" fillId="0" borderId="73" xfId="0" applyFont="1" applyFill="1" applyBorder="1" applyAlignment="1">
      <alignment horizontal="left" vertical="center" wrapText="1"/>
    </xf>
    <xf numFmtId="41" fontId="18" fillId="0" borderId="72" xfId="0" applyNumberFormat="1" applyFont="1" applyFill="1" applyBorder="1" applyAlignment="1">
      <alignment horizontal="center" vertical="center" wrapText="1"/>
    </xf>
    <xf numFmtId="43" fontId="18" fillId="0" borderId="2" xfId="0" applyNumberFormat="1" applyFont="1" applyFill="1" applyBorder="1" applyAlignment="1">
      <alignment horizontal="center" vertical="center" wrapText="1"/>
    </xf>
    <xf numFmtId="164" fontId="26" fillId="0" borderId="2" xfId="1" applyNumberFormat="1" applyFont="1" applyFill="1" applyBorder="1" applyAlignment="1">
      <alignment horizontal="right" vertical="center" wrapText="1"/>
    </xf>
    <xf numFmtId="4" fontId="26" fillId="0" borderId="2" xfId="0" applyNumberFormat="1" applyFont="1" applyFill="1" applyBorder="1" applyAlignment="1">
      <alignment horizontal="right" vertical="center" wrapText="1"/>
    </xf>
    <xf numFmtId="4" fontId="32" fillId="0" borderId="2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167" fontId="18" fillId="0" borderId="1" xfId="1" applyNumberFormat="1" applyFont="1" applyFill="1" applyBorder="1" applyAlignment="1">
      <alignment vertical="center" wrapText="1"/>
    </xf>
    <xf numFmtId="167" fontId="26" fillId="0" borderId="1" xfId="3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/>
    </xf>
    <xf numFmtId="4" fontId="26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39" fontId="18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Fill="1" applyBorder="1" applyAlignment="1">
      <alignment horizontal="right" vertical="center" wrapText="1"/>
    </xf>
    <xf numFmtId="43" fontId="18" fillId="0" borderId="1" xfId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right" vertical="center" wrapText="1"/>
    </xf>
    <xf numFmtId="43" fontId="18" fillId="0" borderId="2" xfId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right" vertical="center" wrapText="1"/>
    </xf>
    <xf numFmtId="4" fontId="18" fillId="0" borderId="21" xfId="0" applyNumberFormat="1" applyFont="1" applyFill="1" applyBorder="1" applyAlignment="1">
      <alignment horizontal="right" vertical="center" wrapText="1"/>
    </xf>
    <xf numFmtId="0" fontId="36" fillId="0" borderId="21" xfId="0" applyFont="1" applyFill="1" applyBorder="1" applyAlignment="1">
      <alignment horizontal="right" vertical="center" wrapText="1"/>
    </xf>
    <xf numFmtId="0" fontId="18" fillId="0" borderId="1" xfId="1" applyNumberFormat="1" applyFont="1" applyFill="1" applyBorder="1" applyAlignment="1">
      <alignment horizontal="right" vertical="center" wrapText="1"/>
    </xf>
    <xf numFmtId="43" fontId="23" fillId="0" borderId="21" xfId="1" applyFont="1" applyFill="1" applyBorder="1" applyAlignment="1">
      <alignment horizontal="right" vertical="center"/>
    </xf>
    <xf numFmtId="0" fontId="36" fillId="0" borderId="56" xfId="0" applyFont="1" applyFill="1" applyBorder="1" applyAlignment="1">
      <alignment horizontal="right" vertical="center" wrapText="1"/>
    </xf>
    <xf numFmtId="0" fontId="18" fillId="0" borderId="56" xfId="0" applyFont="1" applyFill="1" applyBorder="1" applyAlignment="1">
      <alignment horizontal="right" vertical="center" wrapText="1"/>
    </xf>
    <xf numFmtId="43" fontId="18" fillId="0" borderId="56" xfId="0" applyNumberFormat="1" applyFont="1" applyFill="1" applyBorder="1" applyAlignment="1">
      <alignment horizontal="right" vertical="center" wrapText="1"/>
    </xf>
    <xf numFmtId="43" fontId="18" fillId="0" borderId="57" xfId="1" applyFont="1" applyFill="1" applyBorder="1" applyAlignment="1">
      <alignment horizontal="right" vertical="center" wrapText="1"/>
    </xf>
    <xf numFmtId="0" fontId="18" fillId="0" borderId="57" xfId="0" applyFont="1" applyFill="1" applyBorder="1" applyAlignment="1">
      <alignment horizontal="right" vertical="center" wrapText="1"/>
    </xf>
    <xf numFmtId="43" fontId="36" fillId="0" borderId="1" xfId="1" applyFont="1" applyFill="1" applyBorder="1" applyAlignment="1">
      <alignment horizontal="right" vertical="center" wrapText="1"/>
    </xf>
    <xf numFmtId="43" fontId="18" fillId="0" borderId="21" xfId="1" applyFont="1" applyFill="1" applyBorder="1" applyAlignment="1">
      <alignment horizontal="right" vertical="center" wrapText="1"/>
    </xf>
    <xf numFmtId="41" fontId="18" fillId="0" borderId="2" xfId="1" applyNumberFormat="1" applyFont="1" applyFill="1" applyBorder="1" applyAlignment="1">
      <alignment horizontal="right" vertical="center" wrapText="1"/>
    </xf>
    <xf numFmtId="4" fontId="26" fillId="0" borderId="2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right" vertical="center" wrapText="1"/>
    </xf>
    <xf numFmtId="2" fontId="26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43" fontId="18" fillId="0" borderId="22" xfId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vertical="center" wrapText="1"/>
    </xf>
    <xf numFmtId="43" fontId="23" fillId="0" borderId="56" xfId="1" applyFont="1" applyFill="1" applyBorder="1" applyAlignment="1">
      <alignment horizontal="right" vertical="center"/>
    </xf>
    <xf numFmtId="167" fontId="26" fillId="0" borderId="1" xfId="0" applyNumberFormat="1" applyFont="1" applyFill="1" applyBorder="1" applyAlignment="1">
      <alignment vertical="center" wrapText="1"/>
    </xf>
    <xf numFmtId="2" fontId="26" fillId="0" borderId="1" xfId="0" applyNumberFormat="1" applyFont="1" applyFill="1" applyBorder="1" applyAlignment="1">
      <alignment vertical="center" wrapText="1"/>
    </xf>
    <xf numFmtId="43" fontId="26" fillId="0" borderId="1" xfId="1" applyFont="1" applyFill="1" applyBorder="1" applyAlignment="1">
      <alignment horizontal="right" vertical="center" wrapText="1"/>
    </xf>
    <xf numFmtId="4" fontId="26" fillId="0" borderId="21" xfId="0" applyNumberFormat="1" applyFont="1" applyFill="1" applyBorder="1" applyAlignment="1">
      <alignment vertical="center" wrapText="1"/>
    </xf>
    <xf numFmtId="4" fontId="26" fillId="0" borderId="56" xfId="0" applyNumberFormat="1" applyFont="1" applyFill="1" applyBorder="1" applyAlignment="1">
      <alignment vertical="center" wrapText="1"/>
    </xf>
    <xf numFmtId="0" fontId="18" fillId="0" borderId="72" xfId="0" applyFont="1" applyFill="1" applyBorder="1" applyAlignment="1">
      <alignment horizontal="right" vertical="center" wrapText="1"/>
    </xf>
    <xf numFmtId="43" fontId="18" fillId="0" borderId="71" xfId="1" applyFont="1" applyFill="1" applyBorder="1" applyAlignment="1">
      <alignment horizontal="right" vertical="center" wrapText="1"/>
    </xf>
    <xf numFmtId="43" fontId="23" fillId="0" borderId="72" xfId="1" applyFont="1" applyFill="1" applyBorder="1" applyAlignment="1">
      <alignment horizontal="right" vertical="center"/>
    </xf>
    <xf numFmtId="43" fontId="26" fillId="0" borderId="72" xfId="1" applyFont="1" applyFill="1" applyBorder="1" applyAlignment="1">
      <alignment horizontal="right" vertical="center" wrapText="1"/>
    </xf>
    <xf numFmtId="0" fontId="18" fillId="0" borderId="71" xfId="0" applyFont="1" applyFill="1" applyBorder="1" applyAlignment="1">
      <alignment horizontal="right" vertical="center" wrapText="1"/>
    </xf>
    <xf numFmtId="43" fontId="35" fillId="0" borderId="56" xfId="1" applyFont="1" applyFill="1" applyBorder="1" applyAlignment="1">
      <alignment horizontal="right" vertical="center"/>
    </xf>
    <xf numFmtId="43" fontId="18" fillId="0" borderId="57" xfId="0" applyNumberFormat="1" applyFont="1" applyFill="1" applyBorder="1" applyAlignment="1">
      <alignment horizontal="right" vertical="center" wrapText="1"/>
    </xf>
    <xf numFmtId="43" fontId="26" fillId="0" borderId="57" xfId="1" applyFont="1" applyFill="1" applyBorder="1" applyAlignment="1">
      <alignment horizontal="right" vertical="center" wrapText="1"/>
    </xf>
    <xf numFmtId="43" fontId="18" fillId="0" borderId="72" xfId="0" applyNumberFormat="1" applyFont="1" applyFill="1" applyBorder="1" applyAlignment="1">
      <alignment horizontal="right" vertical="center" wrapText="1"/>
    </xf>
    <xf numFmtId="4" fontId="18" fillId="0" borderId="0" xfId="0" applyNumberFormat="1" applyFont="1" applyFill="1" applyAlignment="1">
      <alignment horizontal="right" vertical="center"/>
    </xf>
    <xf numFmtId="4" fontId="26" fillId="0" borderId="57" xfId="0" applyNumberFormat="1" applyFont="1" applyFill="1" applyBorder="1" applyAlignment="1">
      <alignment horizontal="right" vertical="center" wrapText="1"/>
    </xf>
    <xf numFmtId="43" fontId="18" fillId="0" borderId="2" xfId="0" applyNumberFormat="1" applyFont="1" applyFill="1" applyBorder="1" applyAlignment="1">
      <alignment horizontal="right" vertical="center" wrapText="1"/>
    </xf>
    <xf numFmtId="2" fontId="26" fillId="0" borderId="56" xfId="0" applyNumberFormat="1" applyFont="1" applyFill="1" applyBorder="1" applyAlignment="1">
      <alignment horizontal="right" vertical="center" wrapText="1"/>
    </xf>
    <xf numFmtId="164" fontId="23" fillId="0" borderId="1" xfId="1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vertical="center"/>
    </xf>
    <xf numFmtId="43" fontId="27" fillId="0" borderId="1" xfId="0" applyNumberFormat="1" applyFont="1" applyFill="1" applyBorder="1" applyAlignment="1">
      <alignment horizontal="right" vertical="center" wrapText="1"/>
    </xf>
    <xf numFmtId="43" fontId="27" fillId="0" borderId="21" xfId="0" applyNumberFormat="1" applyFont="1" applyFill="1" applyBorder="1" applyAlignment="1">
      <alignment horizontal="right" vertical="center" wrapText="1"/>
    </xf>
    <xf numFmtId="4" fontId="26" fillId="0" borderId="29" xfId="0" applyNumberFormat="1" applyFont="1" applyFill="1" applyBorder="1" applyAlignment="1">
      <alignment horizontal="right" vertical="center"/>
    </xf>
    <xf numFmtId="4" fontId="26" fillId="0" borderId="27" xfId="0" applyNumberFormat="1" applyFont="1" applyFill="1" applyBorder="1" applyAlignment="1">
      <alignment horizontal="right" vertical="center"/>
    </xf>
    <xf numFmtId="4" fontId="26" fillId="0" borderId="29" xfId="1" applyNumberFormat="1" applyFont="1" applyFill="1" applyBorder="1" applyAlignment="1">
      <alignment horizontal="right" vertical="center"/>
    </xf>
    <xf numFmtId="4" fontId="26" fillId="0" borderId="1" xfId="3" applyNumberFormat="1" applyFont="1" applyFill="1" applyBorder="1" applyAlignment="1">
      <alignment horizontal="right" vertical="center" wrapText="1"/>
    </xf>
    <xf numFmtId="43" fontId="26" fillId="0" borderId="2" xfId="1" applyFont="1" applyFill="1" applyBorder="1" applyAlignment="1">
      <alignment horizontal="right" vertical="center" wrapText="1"/>
    </xf>
    <xf numFmtId="43" fontId="26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66" fontId="18" fillId="0" borderId="1" xfId="1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 vertical="center"/>
    </xf>
    <xf numFmtId="167" fontId="18" fillId="0" borderId="1" xfId="0" applyNumberFormat="1" applyFont="1" applyFill="1" applyBorder="1" applyAlignment="1">
      <alignment horizontal="right" vertical="center" wrapText="1"/>
    </xf>
    <xf numFmtId="43" fontId="26" fillId="0" borderId="1" xfId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/>
    </xf>
    <xf numFmtId="167" fontId="23" fillId="0" borderId="1" xfId="1" applyNumberFormat="1" applyFont="1" applyFill="1" applyBorder="1" applyAlignment="1">
      <alignment vertical="center"/>
    </xf>
    <xf numFmtId="167" fontId="23" fillId="0" borderId="1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vertical="center" wrapText="1"/>
    </xf>
    <xf numFmtId="41" fontId="27" fillId="0" borderId="51" xfId="0" applyNumberFormat="1" applyFont="1" applyFill="1" applyBorder="1" applyAlignment="1">
      <alignment vertical="center" wrapText="1"/>
    </xf>
    <xf numFmtId="4" fontId="23" fillId="0" borderId="69" xfId="0" applyNumberFormat="1" applyFont="1" applyFill="1" applyBorder="1" applyAlignment="1">
      <alignment horizontal="right" vertical="center"/>
    </xf>
    <xf numFmtId="43" fontId="18" fillId="0" borderId="69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Fill="1" applyBorder="1" applyAlignment="1">
      <alignment horizontal="right" vertical="center"/>
    </xf>
    <xf numFmtId="43" fontId="23" fillId="0" borderId="1" xfId="0" applyNumberFormat="1" applyFont="1" applyFill="1" applyBorder="1" applyAlignment="1">
      <alignment horizontal="right" vertical="center"/>
    </xf>
    <xf numFmtId="4" fontId="23" fillId="0" borderId="31" xfId="0" applyNumberFormat="1" applyFont="1" applyFill="1" applyBorder="1" applyAlignment="1">
      <alignment horizontal="right" vertical="center"/>
    </xf>
    <xf numFmtId="4" fontId="18" fillId="0" borderId="56" xfId="0" applyNumberFormat="1" applyFont="1" applyFill="1" applyBorder="1" applyAlignment="1">
      <alignment horizontal="right" vertical="center" wrapText="1"/>
    </xf>
    <xf numFmtId="43" fontId="18" fillId="0" borderId="45" xfId="1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43" fontId="14" fillId="0" borderId="0" xfId="0" applyNumberFormat="1" applyFont="1" applyFill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3" fontId="18" fillId="0" borderId="21" xfId="0" applyNumberFormat="1" applyFont="1" applyFill="1" applyBorder="1" applyAlignment="1">
      <alignment vertical="center"/>
    </xf>
    <xf numFmtId="167" fontId="18" fillId="0" borderId="51" xfId="0" applyNumberFormat="1" applyFont="1" applyFill="1" applyBorder="1" applyAlignment="1">
      <alignment horizontal="right" vertical="center" wrapText="1"/>
    </xf>
    <xf numFmtId="43" fontId="18" fillId="0" borderId="40" xfId="1" applyFont="1" applyFill="1" applyBorder="1" applyAlignment="1">
      <alignment horizontal="right" vertical="center" wrapText="1"/>
    </xf>
    <xf numFmtId="167" fontId="18" fillId="0" borderId="40" xfId="0" applyNumberFormat="1" applyFont="1" applyFill="1" applyBorder="1" applyAlignment="1">
      <alignment horizontal="right" vertical="center" wrapText="1"/>
    </xf>
    <xf numFmtId="43" fontId="18" fillId="0" borderId="40" xfId="0" applyNumberFormat="1" applyFont="1" applyFill="1" applyBorder="1" applyAlignment="1">
      <alignment horizontal="right" vertical="center" wrapText="1"/>
    </xf>
    <xf numFmtId="43" fontId="18" fillId="0" borderId="21" xfId="0" applyNumberFormat="1" applyFont="1" applyFill="1" applyBorder="1" applyAlignment="1">
      <alignment horizontal="right" vertical="center" wrapText="1"/>
    </xf>
    <xf numFmtId="43" fontId="18" fillId="0" borderId="31" xfId="0" applyNumberFormat="1" applyFont="1" applyFill="1" applyBorder="1" applyAlignment="1">
      <alignment horizontal="right" vertical="center" wrapText="1"/>
    </xf>
    <xf numFmtId="0" fontId="18" fillId="0" borderId="59" xfId="0" applyFont="1" applyFill="1" applyBorder="1" applyAlignment="1">
      <alignment horizontal="right" vertical="center" wrapText="1"/>
    </xf>
    <xf numFmtId="167" fontId="18" fillId="0" borderId="59" xfId="0" applyNumberFormat="1" applyFont="1" applyFill="1" applyBorder="1" applyAlignment="1">
      <alignment horizontal="right" vertical="center" wrapText="1"/>
    </xf>
    <xf numFmtId="43" fontId="18" fillId="0" borderId="59" xfId="1" applyFont="1" applyFill="1" applyBorder="1" applyAlignment="1">
      <alignment horizontal="right" vertical="center" wrapText="1"/>
    </xf>
    <xf numFmtId="167" fontId="18" fillId="0" borderId="45" xfId="0" applyNumberFormat="1" applyFont="1" applyFill="1" applyBorder="1" applyAlignment="1">
      <alignment horizontal="right" vertical="center" wrapText="1"/>
    </xf>
    <xf numFmtId="0" fontId="18" fillId="0" borderId="40" xfId="0" applyFont="1" applyFill="1" applyBorder="1" applyAlignment="1">
      <alignment horizontal="right" vertical="center" wrapText="1"/>
    </xf>
    <xf numFmtId="43" fontId="18" fillId="0" borderId="59" xfId="0" applyNumberFormat="1" applyFont="1" applyFill="1" applyBorder="1" applyAlignment="1">
      <alignment horizontal="right" vertical="center" wrapText="1"/>
    </xf>
    <xf numFmtId="43" fontId="18" fillId="0" borderId="5" xfId="1" applyFont="1" applyFill="1" applyBorder="1" applyAlignment="1">
      <alignment horizontal="right" vertical="center"/>
    </xf>
    <xf numFmtId="43" fontId="18" fillId="0" borderId="60" xfId="1" applyFont="1" applyFill="1" applyBorder="1" applyAlignment="1">
      <alignment horizontal="right" vertical="center" wrapText="1"/>
    </xf>
    <xf numFmtId="43" fontId="18" fillId="0" borderId="41" xfId="1" applyFont="1" applyFill="1" applyBorder="1" applyAlignment="1">
      <alignment horizontal="right" vertical="center" wrapText="1"/>
    </xf>
    <xf numFmtId="43" fontId="18" fillId="0" borderId="35" xfId="1" applyFont="1" applyFill="1" applyBorder="1" applyAlignment="1">
      <alignment horizontal="right" vertical="center" wrapText="1"/>
    </xf>
    <xf numFmtId="43" fontId="18" fillId="0" borderId="56" xfId="1" applyNumberFormat="1" applyFont="1" applyFill="1" applyBorder="1" applyAlignment="1">
      <alignment horizontal="right" vertical="center" wrapText="1"/>
    </xf>
    <xf numFmtId="0" fontId="24" fillId="0" borderId="57" xfId="0" applyFont="1" applyFill="1" applyBorder="1" applyAlignment="1">
      <alignment horizontal="right" vertical="center" wrapText="1"/>
    </xf>
    <xf numFmtId="0" fontId="24" fillId="0" borderId="56" xfId="0" applyFont="1" applyFill="1" applyBorder="1" applyAlignment="1">
      <alignment horizontal="right" vertical="center" wrapText="1"/>
    </xf>
    <xf numFmtId="41" fontId="26" fillId="0" borderId="45" xfId="0" applyNumberFormat="1" applyFont="1" applyFill="1" applyBorder="1" applyAlignment="1">
      <alignment horizontal="right" vertical="center" wrapText="1"/>
    </xf>
    <xf numFmtId="0" fontId="18" fillId="0" borderId="51" xfId="0" applyFont="1" applyFill="1" applyBorder="1" applyAlignment="1">
      <alignment horizontal="right" vertical="center" wrapText="1"/>
    </xf>
    <xf numFmtId="0" fontId="18" fillId="0" borderId="69" xfId="0" applyFont="1" applyFill="1" applyBorder="1" applyAlignment="1">
      <alignment horizontal="right" vertical="center" wrapText="1"/>
    </xf>
    <xf numFmtId="41" fontId="27" fillId="0" borderId="51" xfId="0" applyNumberFormat="1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right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36" fillId="0" borderId="69" xfId="0" applyFont="1" applyFill="1" applyBorder="1" applyAlignment="1">
      <alignment horizontal="center" vertical="center" wrapText="1"/>
    </xf>
    <xf numFmtId="43" fontId="18" fillId="0" borderId="68" xfId="1" applyFont="1" applyFill="1" applyBorder="1" applyAlignment="1">
      <alignment horizontal="center" vertical="center" wrapText="1"/>
    </xf>
    <xf numFmtId="4" fontId="26" fillId="0" borderId="69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vertical="center" wrapText="1"/>
    </xf>
    <xf numFmtId="0" fontId="26" fillId="0" borderId="69" xfId="2" applyFont="1" applyFill="1" applyBorder="1" applyAlignment="1">
      <alignment vertical="center" wrapText="1"/>
    </xf>
    <xf numFmtId="167" fontId="18" fillId="0" borderId="69" xfId="1" applyNumberFormat="1" applyFont="1" applyFill="1" applyBorder="1" applyAlignment="1">
      <alignment horizontal="right" vertical="center" wrapText="1"/>
    </xf>
    <xf numFmtId="0" fontId="1" fillId="0" borderId="69" xfId="0" applyFont="1" applyFill="1" applyBorder="1" applyAlignment="1">
      <alignment vertical="center" wrapText="1"/>
    </xf>
    <xf numFmtId="164" fontId="23" fillId="0" borderId="69" xfId="3" applyFont="1" applyFill="1" applyBorder="1" applyAlignment="1">
      <alignment horizontal="right" vertical="center"/>
    </xf>
    <xf numFmtId="41" fontId="18" fillId="0" borderId="68" xfId="0" applyNumberFormat="1" applyFont="1" applyFill="1" applyBorder="1" applyAlignment="1">
      <alignment horizontal="center" vertical="center" wrapText="1"/>
    </xf>
    <xf numFmtId="41" fontId="27" fillId="0" borderId="1" xfId="0" applyNumberFormat="1" applyFont="1" applyFill="1" applyBorder="1" applyAlignment="1">
      <alignment horizontal="right" vertical="center" wrapText="1"/>
    </xf>
    <xf numFmtId="0" fontId="18" fillId="0" borderId="35" xfId="0" applyFont="1" applyFill="1" applyBorder="1" applyAlignment="1">
      <alignment horizontal="right" vertical="center" wrapText="1"/>
    </xf>
    <xf numFmtId="0" fontId="27" fillId="0" borderId="1" xfId="1" applyNumberFormat="1" applyFont="1" applyFill="1" applyBorder="1" applyAlignment="1">
      <alignment horizontal="right" vertical="center" wrapText="1"/>
    </xf>
    <xf numFmtId="0" fontId="26" fillId="0" borderId="38" xfId="0" applyFont="1" applyFill="1" applyBorder="1" applyAlignment="1">
      <alignment horizontal="right" vertical="center"/>
    </xf>
    <xf numFmtId="0" fontId="18" fillId="0" borderId="60" xfId="0" applyFont="1" applyFill="1" applyBorder="1" applyAlignment="1">
      <alignment horizontal="right" vertical="center" wrapText="1"/>
    </xf>
    <xf numFmtId="0" fontId="26" fillId="0" borderId="47" xfId="0" applyFont="1" applyFill="1" applyBorder="1" applyAlignment="1">
      <alignment horizontal="right" vertical="center"/>
    </xf>
    <xf numFmtId="0" fontId="26" fillId="0" borderId="56" xfId="0" applyFont="1" applyFill="1" applyBorder="1" applyAlignment="1">
      <alignment horizontal="right" vertical="center"/>
    </xf>
    <xf numFmtId="43" fontId="18" fillId="0" borderId="60" xfId="0" applyNumberFormat="1" applyFont="1" applyFill="1" applyBorder="1" applyAlignment="1">
      <alignment horizontal="right" vertical="center" wrapText="1"/>
    </xf>
    <xf numFmtId="43" fontId="18" fillId="0" borderId="35" xfId="0" applyNumberFormat="1" applyFont="1" applyFill="1" applyBorder="1" applyAlignment="1">
      <alignment horizontal="right" vertical="center" wrapText="1"/>
    </xf>
    <xf numFmtId="0" fontId="26" fillId="0" borderId="48" xfId="0" applyFont="1" applyFill="1" applyBorder="1" applyAlignment="1">
      <alignment horizontal="right" vertical="center"/>
    </xf>
    <xf numFmtId="41" fontId="18" fillId="0" borderId="56" xfId="0" applyNumberFormat="1" applyFont="1" applyFill="1" applyBorder="1" applyAlignment="1">
      <alignment horizontal="right" vertical="center" wrapText="1"/>
    </xf>
    <xf numFmtId="41" fontId="18" fillId="0" borderId="45" xfId="0" applyNumberFormat="1" applyFont="1" applyFill="1" applyBorder="1" applyAlignment="1">
      <alignment horizontal="right" vertical="center" wrapText="1"/>
    </xf>
    <xf numFmtId="0" fontId="18" fillId="0" borderId="41" xfId="0" applyFont="1" applyFill="1" applyBorder="1" applyAlignment="1">
      <alignment horizontal="right" vertical="center" wrapText="1"/>
    </xf>
    <xf numFmtId="3" fontId="22" fillId="0" borderId="35" xfId="1" applyNumberFormat="1" applyFont="1" applyFill="1" applyBorder="1" applyAlignment="1">
      <alignment horizontal="right" vertical="center" wrapText="1"/>
    </xf>
    <xf numFmtId="41" fontId="18" fillId="0" borderId="59" xfId="0" applyNumberFormat="1" applyFont="1" applyFill="1" applyBorder="1" applyAlignment="1">
      <alignment horizontal="right" vertical="center" wrapText="1"/>
    </xf>
    <xf numFmtId="41" fontId="18" fillId="0" borderId="72" xfId="0" applyNumberFormat="1" applyFont="1" applyFill="1" applyBorder="1" applyAlignment="1">
      <alignment horizontal="right" vertical="center" wrapText="1"/>
    </xf>
    <xf numFmtId="41" fontId="18" fillId="0" borderId="21" xfId="1" applyNumberFormat="1" applyFont="1" applyFill="1" applyBorder="1" applyAlignment="1">
      <alignment horizontal="right" vertical="center" wrapText="1"/>
    </xf>
    <xf numFmtId="41" fontId="18" fillId="0" borderId="1" xfId="0" applyNumberFormat="1" applyFont="1" applyFill="1" applyBorder="1" applyAlignment="1">
      <alignment horizontal="right" vertical="center" wrapText="1"/>
    </xf>
    <xf numFmtId="41" fontId="18" fillId="0" borderId="45" xfId="1" applyNumberFormat="1" applyFont="1" applyFill="1" applyBorder="1" applyAlignment="1">
      <alignment horizontal="right" vertical="center" wrapText="1"/>
    </xf>
    <xf numFmtId="41" fontId="18" fillId="0" borderId="56" xfId="1" applyNumberFormat="1" applyFont="1" applyFill="1" applyBorder="1" applyAlignment="1">
      <alignment horizontal="right" vertical="center" wrapText="1"/>
    </xf>
    <xf numFmtId="41" fontId="18" fillId="0" borderId="31" xfId="0" applyNumberFormat="1" applyFont="1" applyFill="1" applyBorder="1" applyAlignment="1">
      <alignment horizontal="right" vertical="center" wrapText="1"/>
    </xf>
    <xf numFmtId="41" fontId="18" fillId="0" borderId="21" xfId="0" applyNumberFormat="1" applyFont="1" applyFill="1" applyBorder="1" applyAlignment="1">
      <alignment horizontal="right" vertical="center" wrapText="1"/>
    </xf>
    <xf numFmtId="43" fontId="18" fillId="0" borderId="51" xfId="1" applyFont="1" applyFill="1" applyBorder="1" applyAlignment="1">
      <alignment horizontal="right" vertical="center" wrapText="1"/>
    </xf>
    <xf numFmtId="41" fontId="18" fillId="0" borderId="41" xfId="1" applyNumberFormat="1" applyFont="1" applyFill="1" applyBorder="1" applyAlignment="1">
      <alignment horizontal="right" vertical="center" wrapText="1"/>
    </xf>
    <xf numFmtId="41" fontId="18" fillId="0" borderId="51" xfId="1" applyNumberFormat="1" applyFont="1" applyFill="1" applyBorder="1" applyAlignment="1">
      <alignment horizontal="right" vertical="center" wrapText="1"/>
    </xf>
    <xf numFmtId="41" fontId="18" fillId="0" borderId="51" xfId="0" applyNumberFormat="1" applyFont="1" applyFill="1" applyBorder="1" applyAlignment="1">
      <alignment horizontal="right" vertical="center" wrapText="1"/>
    </xf>
    <xf numFmtId="0" fontId="26" fillId="0" borderId="56" xfId="0" applyFont="1" applyFill="1" applyBorder="1" applyAlignment="1">
      <alignment horizontal="right" vertical="center" wrapText="1"/>
    </xf>
    <xf numFmtId="0" fontId="18" fillId="0" borderId="34" xfId="0" applyFont="1" applyFill="1" applyBorder="1" applyAlignment="1">
      <alignment horizontal="right" vertical="center" wrapText="1"/>
    </xf>
    <xf numFmtId="0" fontId="18" fillId="0" borderId="53" xfId="0" applyFont="1" applyFill="1" applyBorder="1" applyAlignment="1">
      <alignment horizontal="right" vertical="center" wrapText="1"/>
    </xf>
    <xf numFmtId="41" fontId="27" fillId="0" borderId="1" xfId="1" applyNumberFormat="1" applyFont="1" applyFill="1" applyBorder="1" applyAlignment="1">
      <alignment horizontal="right" vertical="center" wrapText="1"/>
    </xf>
    <xf numFmtId="41" fontId="18" fillId="0" borderId="1" xfId="1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horizontal="right" vertical="center" wrapText="1"/>
    </xf>
    <xf numFmtId="1" fontId="26" fillId="0" borderId="1" xfId="0" applyNumberFormat="1" applyFont="1" applyFill="1" applyBorder="1" applyAlignment="1">
      <alignment horizontal="right" vertical="center" wrapText="1"/>
    </xf>
    <xf numFmtId="1" fontId="26" fillId="0" borderId="57" xfId="0" applyNumberFormat="1" applyFont="1" applyFill="1" applyBorder="1" applyAlignment="1">
      <alignment horizontal="right" vertical="center" wrapText="1"/>
    </xf>
    <xf numFmtId="1" fontId="26" fillId="0" borderId="2" xfId="0" applyNumberFormat="1" applyFont="1" applyFill="1" applyBorder="1" applyAlignment="1">
      <alignment horizontal="right" vertical="center" wrapText="1"/>
    </xf>
    <xf numFmtId="0" fontId="27" fillId="0" borderId="71" xfId="0" applyFont="1" applyFill="1" applyBorder="1" applyAlignment="1">
      <alignment horizontal="center" vertical="center" wrapText="1"/>
    </xf>
    <xf numFmtId="0" fontId="27" fillId="0" borderId="7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0" fontId="29" fillId="0" borderId="74" xfId="0" applyFont="1" applyFill="1" applyBorder="1" applyAlignment="1">
      <alignment vertical="center" wrapText="1"/>
    </xf>
    <xf numFmtId="0" fontId="29" fillId="0" borderId="7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7" fillId="0" borderId="7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8" fillId="0" borderId="5" xfId="0" applyFont="1" applyFill="1" applyBorder="1" applyAlignment="1">
      <alignment horizontal="center" vertical="center" textRotation="90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textRotation="90" wrapText="1"/>
    </xf>
    <xf numFmtId="0" fontId="18" fillId="0" borderId="28" xfId="0" applyFont="1" applyFill="1" applyBorder="1" applyAlignment="1">
      <alignment horizontal="center" vertical="center" textRotation="90" wrapText="1"/>
    </xf>
    <xf numFmtId="0" fontId="18" fillId="0" borderId="17" xfId="0" applyFont="1" applyFill="1" applyBorder="1" applyAlignment="1">
      <alignment horizontal="center" vertical="center" textRotation="90" wrapText="1"/>
    </xf>
    <xf numFmtId="0" fontId="18" fillId="0" borderId="18" xfId="0" applyFont="1" applyFill="1" applyBorder="1" applyAlignment="1">
      <alignment horizontal="center" vertical="center" textRotation="90" wrapText="1"/>
    </xf>
    <xf numFmtId="0" fontId="18" fillId="0" borderId="15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27" xfId="0" applyFont="1" applyFill="1" applyBorder="1" applyAlignment="1">
      <alignment horizontal="center" vertical="center" textRotation="90" wrapText="1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textRotation="90" wrapText="1"/>
    </xf>
    <xf numFmtId="0" fontId="18" fillId="0" borderId="3" xfId="0" applyFont="1" applyFill="1" applyBorder="1" applyAlignment="1">
      <alignment horizontal="center" vertical="center" textRotation="90" wrapText="1"/>
    </xf>
    <xf numFmtId="0" fontId="24" fillId="0" borderId="74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43" fontId="14" fillId="0" borderId="0" xfId="0" applyNumberFormat="1" applyFont="1" applyFill="1" applyAlignment="1">
      <alignment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90" wrapText="1"/>
    </xf>
    <xf numFmtId="0" fontId="18" fillId="0" borderId="14" xfId="0" applyFont="1" applyFill="1" applyBorder="1" applyAlignment="1">
      <alignment horizontal="center" vertical="center" textRotation="90" wrapText="1"/>
    </xf>
    <xf numFmtId="0" fontId="14" fillId="0" borderId="0" xfId="0" applyFont="1" applyFill="1" applyAlignment="1">
      <alignment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0" fontId="42" fillId="0" borderId="0" xfId="0" applyFont="1" applyFill="1"/>
    <xf numFmtId="43" fontId="42" fillId="0" borderId="0" xfId="1" applyFont="1" applyFill="1" applyAlignment="1"/>
    <xf numFmtId="0" fontId="42" fillId="0" borderId="0" xfId="0" applyFont="1" applyFill="1" applyAlignment="1">
      <alignment wrapText="1"/>
    </xf>
    <xf numFmtId="49" fontId="42" fillId="0" borderId="0" xfId="0" applyNumberFormat="1" applyFont="1" applyFill="1"/>
    <xf numFmtId="49" fontId="42" fillId="0" borderId="0" xfId="1" applyNumberFormat="1" applyFont="1" applyFill="1" applyAlignment="1"/>
  </cellXfs>
  <cellStyles count="7">
    <cellStyle name="Обычный" xfId="0" builtinId="0"/>
    <cellStyle name="Обычный 10 10" xfId="5"/>
    <cellStyle name="Обычный 2" xfId="2"/>
    <cellStyle name="Обычный 3" xfId="4"/>
    <cellStyle name="Обычный 4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38"/>
  <sheetViews>
    <sheetView tabSelected="1" view="pageBreakPreview" topLeftCell="A118" zoomScale="70" zoomScaleNormal="85" zoomScaleSheetLayoutView="70" workbookViewId="0">
      <selection activeCell="J27" activeCellId="1" sqref="E27:E37 J27:J37"/>
    </sheetView>
  </sheetViews>
  <sheetFormatPr defaultRowHeight="24" customHeight="1"/>
  <cols>
    <col min="1" max="1" width="4.42578125" style="76" customWidth="1"/>
    <col min="2" max="2" width="28.42578125" style="17" customWidth="1"/>
    <col min="3" max="3" width="17.140625" style="17" customWidth="1"/>
    <col min="4" max="4" width="15" style="17" customWidth="1"/>
    <col min="5" max="5" width="12" style="17" customWidth="1"/>
    <col min="6" max="6" width="14" style="17" customWidth="1"/>
    <col min="7" max="7" width="14" style="28" customWidth="1"/>
    <col min="8" max="8" width="14" style="17" customWidth="1"/>
    <col min="9" max="9" width="15" style="17" customWidth="1"/>
    <col min="10" max="10" width="9.28515625" style="17" customWidth="1"/>
    <col min="11" max="11" width="13.140625" style="17" customWidth="1"/>
    <col min="12" max="12" width="13.28515625" style="17" customWidth="1"/>
    <col min="13" max="13" width="13" style="17" customWidth="1"/>
    <col min="14" max="14" width="7.28515625" style="17" customWidth="1"/>
    <col min="15" max="15" width="14.140625" style="17" customWidth="1"/>
    <col min="16" max="16" width="16.5703125" style="17" customWidth="1"/>
    <col min="17" max="17" width="16.7109375" style="17" customWidth="1"/>
    <col min="18" max="18" width="16.5703125" style="17" customWidth="1"/>
    <col min="19" max="21" width="14" style="17" customWidth="1"/>
    <col min="22" max="22" width="14.28515625" style="17" customWidth="1"/>
    <col min="23" max="23" width="14.42578125" style="17" customWidth="1"/>
    <col min="24" max="24" width="15" style="17" customWidth="1"/>
    <col min="25" max="25" width="13.85546875" style="17" customWidth="1"/>
    <col min="26" max="26" width="14.85546875" style="17" customWidth="1"/>
    <col min="27" max="27" width="12.140625" style="17" customWidth="1"/>
    <col min="28" max="28" width="18.42578125" style="17" customWidth="1"/>
    <col min="29" max="29" width="11.7109375" style="17" customWidth="1"/>
    <col min="30" max="31" width="9.140625" style="17"/>
    <col min="32" max="32" width="29.7109375" style="17" customWidth="1"/>
    <col min="33" max="33" width="22.7109375" style="173" customWidth="1"/>
    <col min="34" max="34" width="42" style="17" customWidth="1"/>
    <col min="35" max="16384" width="9.140625" style="17"/>
  </cols>
  <sheetData>
    <row r="1" spans="1:33" ht="24" customHeight="1">
      <c r="A1" s="905" t="s">
        <v>0</v>
      </c>
      <c r="B1" s="905"/>
      <c r="C1" s="905"/>
      <c r="D1" s="905"/>
      <c r="E1" s="905"/>
      <c r="F1" s="905"/>
      <c r="G1" s="905"/>
      <c r="H1" s="905"/>
      <c r="I1" s="905"/>
      <c r="J1" s="905"/>
      <c r="K1" s="905"/>
      <c r="L1" s="905"/>
      <c r="M1" s="905"/>
      <c r="N1" s="905"/>
      <c r="O1" s="905"/>
      <c r="P1" s="905"/>
      <c r="Q1" s="905"/>
      <c r="R1" s="905"/>
      <c r="S1" s="905"/>
      <c r="T1" s="905"/>
      <c r="U1" s="905"/>
      <c r="V1" s="905"/>
      <c r="W1" s="905"/>
      <c r="X1" s="905"/>
      <c r="Y1" s="905"/>
      <c r="Z1" s="905"/>
      <c r="AA1" s="905"/>
      <c r="AB1" s="905"/>
      <c r="AC1" s="905"/>
      <c r="AD1" s="905"/>
      <c r="AE1" s="905"/>
      <c r="AF1" s="927"/>
      <c r="AG1" s="915"/>
    </row>
    <row r="2" spans="1:33" ht="24" customHeight="1">
      <c r="A2" s="906"/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6"/>
      <c r="AD2" s="906"/>
      <c r="AE2" s="906"/>
      <c r="AF2" s="927"/>
      <c r="AG2" s="915"/>
    </row>
    <row r="3" spans="1:33" ht="24" customHeight="1">
      <c r="A3" s="907" t="s">
        <v>1</v>
      </c>
      <c r="B3" s="907"/>
      <c r="C3" s="907"/>
      <c r="D3" s="907"/>
      <c r="E3" s="907"/>
      <c r="F3" s="907"/>
      <c r="G3" s="907"/>
      <c r="H3" s="907"/>
      <c r="I3" s="907"/>
      <c r="J3" s="907"/>
      <c r="K3" s="907"/>
      <c r="L3" s="907"/>
      <c r="M3" s="907"/>
      <c r="N3" s="907"/>
      <c r="O3" s="907"/>
      <c r="P3" s="907"/>
      <c r="Q3" s="907"/>
      <c r="R3" s="907"/>
      <c r="S3" s="907"/>
      <c r="T3" s="907"/>
      <c r="U3" s="907"/>
      <c r="V3" s="907"/>
      <c r="W3" s="907"/>
      <c r="X3" s="907"/>
      <c r="Y3" s="907"/>
      <c r="Z3" s="907"/>
      <c r="AA3" s="907"/>
      <c r="AB3" s="907"/>
      <c r="AC3" s="907"/>
      <c r="AD3" s="907"/>
      <c r="AE3" s="907"/>
      <c r="AF3" s="927"/>
      <c r="AG3" s="915"/>
    </row>
    <row r="4" spans="1:33" ht="24" customHeight="1">
      <c r="A4" s="891" t="s">
        <v>2</v>
      </c>
      <c r="B4" s="891" t="s">
        <v>3</v>
      </c>
      <c r="C4" s="908" t="s">
        <v>4</v>
      </c>
      <c r="D4" s="909"/>
      <c r="E4" s="909"/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  <c r="Q4" s="909"/>
      <c r="R4" s="909"/>
      <c r="S4" s="909"/>
      <c r="T4" s="918"/>
      <c r="U4" s="918"/>
      <c r="V4" s="909"/>
      <c r="W4" s="909"/>
      <c r="X4" s="910"/>
      <c r="Y4" s="919" t="s">
        <v>5</v>
      </c>
      <c r="Z4" s="920"/>
      <c r="AA4" s="920"/>
      <c r="AB4" s="920"/>
      <c r="AC4" s="921"/>
      <c r="AD4" s="891" t="s">
        <v>6</v>
      </c>
      <c r="AE4" s="891" t="s">
        <v>7</v>
      </c>
      <c r="AF4" s="808"/>
      <c r="AG4" s="806"/>
    </row>
    <row r="5" spans="1:33" ht="24" customHeight="1">
      <c r="A5" s="892"/>
      <c r="B5" s="892"/>
      <c r="C5" s="891" t="s">
        <v>8</v>
      </c>
      <c r="D5" s="919" t="s">
        <v>9</v>
      </c>
      <c r="E5" s="920"/>
      <c r="F5" s="920"/>
      <c r="G5" s="920"/>
      <c r="H5" s="920"/>
      <c r="I5" s="920"/>
      <c r="J5" s="920"/>
      <c r="K5" s="920"/>
      <c r="L5" s="920"/>
      <c r="M5" s="921"/>
      <c r="N5" s="925" t="s">
        <v>633</v>
      </c>
      <c r="O5" s="926"/>
      <c r="P5" s="891" t="s">
        <v>634</v>
      </c>
      <c r="Q5" s="891" t="s">
        <v>10</v>
      </c>
      <c r="R5" s="891" t="s">
        <v>635</v>
      </c>
      <c r="S5" s="891" t="s">
        <v>11</v>
      </c>
      <c r="T5" s="898" t="s">
        <v>636</v>
      </c>
      <c r="U5" s="899"/>
      <c r="V5" s="908" t="s">
        <v>12</v>
      </c>
      <c r="W5" s="909"/>
      <c r="X5" s="910"/>
      <c r="Y5" s="922"/>
      <c r="Z5" s="923"/>
      <c r="AA5" s="923"/>
      <c r="AB5" s="923"/>
      <c r="AC5" s="924"/>
      <c r="AD5" s="892"/>
      <c r="AE5" s="892"/>
      <c r="AF5" s="808"/>
      <c r="AG5" s="806"/>
    </row>
    <row r="6" spans="1:33" ht="9.75" customHeight="1">
      <c r="A6" s="892"/>
      <c r="B6" s="892"/>
      <c r="C6" s="892"/>
      <c r="D6" s="922"/>
      <c r="E6" s="923"/>
      <c r="F6" s="923"/>
      <c r="G6" s="923"/>
      <c r="H6" s="923"/>
      <c r="I6" s="923"/>
      <c r="J6" s="923"/>
      <c r="K6" s="923"/>
      <c r="L6" s="923"/>
      <c r="M6" s="924"/>
      <c r="N6" s="900"/>
      <c r="O6" s="901"/>
      <c r="P6" s="892"/>
      <c r="Q6" s="892"/>
      <c r="R6" s="892"/>
      <c r="S6" s="892"/>
      <c r="T6" s="900"/>
      <c r="U6" s="901"/>
      <c r="V6" s="891" t="s">
        <v>13</v>
      </c>
      <c r="W6" s="891" t="s">
        <v>14</v>
      </c>
      <c r="X6" s="891" t="s">
        <v>15</v>
      </c>
      <c r="Y6" s="891" t="s">
        <v>16</v>
      </c>
      <c r="Z6" s="891" t="s">
        <v>17</v>
      </c>
      <c r="AA6" s="891" t="s">
        <v>18</v>
      </c>
      <c r="AB6" s="891" t="s">
        <v>19</v>
      </c>
      <c r="AC6" s="904" t="s">
        <v>20</v>
      </c>
      <c r="AD6" s="892"/>
      <c r="AE6" s="892"/>
      <c r="AF6" s="808"/>
      <c r="AG6" s="806"/>
    </row>
    <row r="7" spans="1:33" ht="63.75" customHeight="1">
      <c r="A7" s="892"/>
      <c r="B7" s="892"/>
      <c r="C7" s="893"/>
      <c r="D7" s="29" t="s">
        <v>21</v>
      </c>
      <c r="E7" s="911" t="s">
        <v>469</v>
      </c>
      <c r="F7" s="912"/>
      <c r="G7" s="30" t="s">
        <v>22</v>
      </c>
      <c r="H7" s="29" t="s">
        <v>23</v>
      </c>
      <c r="I7" s="29" t="s">
        <v>24</v>
      </c>
      <c r="J7" s="911" t="s">
        <v>468</v>
      </c>
      <c r="K7" s="912"/>
      <c r="L7" s="29" t="s">
        <v>25</v>
      </c>
      <c r="M7" s="29" t="s">
        <v>26</v>
      </c>
      <c r="N7" s="902"/>
      <c r="O7" s="903"/>
      <c r="P7" s="893"/>
      <c r="Q7" s="893"/>
      <c r="R7" s="893"/>
      <c r="S7" s="893"/>
      <c r="T7" s="902"/>
      <c r="U7" s="903"/>
      <c r="V7" s="893"/>
      <c r="W7" s="893"/>
      <c r="X7" s="893"/>
      <c r="Y7" s="893"/>
      <c r="Z7" s="893"/>
      <c r="AA7" s="893"/>
      <c r="AB7" s="893"/>
      <c r="AC7" s="893"/>
      <c r="AD7" s="892"/>
      <c r="AE7" s="892"/>
      <c r="AF7" s="808"/>
      <c r="AG7" s="806"/>
    </row>
    <row r="8" spans="1:33" ht="24" customHeight="1">
      <c r="A8" s="893"/>
      <c r="B8" s="893"/>
      <c r="C8" s="31" t="s">
        <v>27</v>
      </c>
      <c r="D8" s="31" t="s">
        <v>27</v>
      </c>
      <c r="E8" s="31" t="s">
        <v>28</v>
      </c>
      <c r="F8" s="31" t="s">
        <v>27</v>
      </c>
      <c r="G8" s="32" t="s">
        <v>27</v>
      </c>
      <c r="H8" s="31" t="s">
        <v>27</v>
      </c>
      <c r="I8" s="31" t="s">
        <v>27</v>
      </c>
      <c r="J8" s="31" t="s">
        <v>28</v>
      </c>
      <c r="K8" s="31" t="s">
        <v>27</v>
      </c>
      <c r="L8" s="31" t="s">
        <v>27</v>
      </c>
      <c r="M8" s="31" t="s">
        <v>27</v>
      </c>
      <c r="N8" s="31" t="s">
        <v>28</v>
      </c>
      <c r="O8" s="31" t="s">
        <v>27</v>
      </c>
      <c r="P8" s="31" t="s">
        <v>27</v>
      </c>
      <c r="Q8" s="31" t="s">
        <v>27</v>
      </c>
      <c r="R8" s="31" t="s">
        <v>27</v>
      </c>
      <c r="S8" s="31" t="s">
        <v>27</v>
      </c>
      <c r="T8" s="31" t="s">
        <v>28</v>
      </c>
      <c r="U8" s="31" t="s">
        <v>27</v>
      </c>
      <c r="V8" s="31" t="s">
        <v>27</v>
      </c>
      <c r="W8" s="31" t="s">
        <v>27</v>
      </c>
      <c r="X8" s="31" t="s">
        <v>27</v>
      </c>
      <c r="Y8" s="31" t="s">
        <v>27</v>
      </c>
      <c r="Z8" s="31" t="s">
        <v>27</v>
      </c>
      <c r="AA8" s="31" t="s">
        <v>27</v>
      </c>
      <c r="AB8" s="31" t="s">
        <v>27</v>
      </c>
      <c r="AC8" s="31" t="s">
        <v>27</v>
      </c>
      <c r="AD8" s="893"/>
      <c r="AE8" s="893"/>
      <c r="AF8" s="808"/>
      <c r="AG8" s="806"/>
    </row>
    <row r="9" spans="1:33" ht="24" customHeight="1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8">
        <v>17</v>
      </c>
      <c r="R9" s="18">
        <v>18</v>
      </c>
      <c r="S9" s="18">
        <v>19</v>
      </c>
      <c r="T9" s="112">
        <v>20</v>
      </c>
      <c r="U9" s="112">
        <v>21</v>
      </c>
      <c r="V9" s="18">
        <v>22</v>
      </c>
      <c r="W9" s="18">
        <v>23</v>
      </c>
      <c r="X9" s="18">
        <v>24</v>
      </c>
      <c r="Y9" s="18">
        <v>25</v>
      </c>
      <c r="Z9" s="18">
        <v>26</v>
      </c>
      <c r="AA9" s="18">
        <v>27</v>
      </c>
      <c r="AB9" s="18">
        <v>28</v>
      </c>
      <c r="AC9" s="18">
        <v>29</v>
      </c>
      <c r="AD9" s="18">
        <v>30</v>
      </c>
      <c r="AE9" s="18">
        <v>31</v>
      </c>
      <c r="AF9" s="808"/>
      <c r="AG9" s="806"/>
    </row>
    <row r="10" spans="1:33" ht="24" customHeight="1">
      <c r="A10" s="916" t="s">
        <v>30</v>
      </c>
      <c r="B10" s="917"/>
      <c r="C10" s="6">
        <f t="shared" ref="C10:AC10" si="0">C11+C410+C1086</f>
        <v>19521496575.41</v>
      </c>
      <c r="D10" s="6">
        <f t="shared" si="0"/>
        <v>311871821.56999999</v>
      </c>
      <c r="E10" s="398">
        <f t="shared" si="0"/>
        <v>166</v>
      </c>
      <c r="F10" s="6">
        <f t="shared" si="0"/>
        <v>253016905.16</v>
      </c>
      <c r="G10" s="6">
        <f t="shared" si="0"/>
        <v>329516043.62</v>
      </c>
      <c r="H10" s="6">
        <f t="shared" si="0"/>
        <v>422238187.92000002</v>
      </c>
      <c r="I10" s="6">
        <f t="shared" si="0"/>
        <v>1617324586.8499999</v>
      </c>
      <c r="J10" s="398">
        <f t="shared" si="0"/>
        <v>217</v>
      </c>
      <c r="K10" s="6">
        <f t="shared" si="0"/>
        <v>550361226.49000001</v>
      </c>
      <c r="L10" s="6">
        <f t="shared" si="0"/>
        <v>341864484.01999998</v>
      </c>
      <c r="M10" s="6">
        <f t="shared" si="0"/>
        <v>45132600</v>
      </c>
      <c r="N10" s="398">
        <f t="shared" si="0"/>
        <v>458</v>
      </c>
      <c r="O10" s="318">
        <f t="shared" si="0"/>
        <v>1482520950.1600001</v>
      </c>
      <c r="P10" s="6">
        <f t="shared" si="0"/>
        <v>6111071987.1300001</v>
      </c>
      <c r="Q10" s="6">
        <f t="shared" si="0"/>
        <v>246440031.28</v>
      </c>
      <c r="R10" s="6">
        <f t="shared" si="0"/>
        <v>5866203960.0699997</v>
      </c>
      <c r="S10" s="6">
        <f t="shared" si="0"/>
        <v>553676377.88999999</v>
      </c>
      <c r="T10" s="398">
        <f t="shared" si="0"/>
        <v>205</v>
      </c>
      <c r="U10" s="6">
        <f t="shared" si="0"/>
        <v>167941703.44999999</v>
      </c>
      <c r="V10" s="6">
        <f t="shared" si="0"/>
        <v>1008696732.83</v>
      </c>
      <c r="W10" s="6">
        <f t="shared" si="0"/>
        <v>212118802.25</v>
      </c>
      <c r="X10" s="6">
        <f t="shared" si="0"/>
        <v>1500174.72</v>
      </c>
      <c r="Y10" s="318">
        <f t="shared" si="0"/>
        <v>4703117928.1899996</v>
      </c>
      <c r="Z10" s="6">
        <f t="shared" si="0"/>
        <v>6102561820.29</v>
      </c>
      <c r="AA10" s="6">
        <f t="shared" si="0"/>
        <v>1500000</v>
      </c>
      <c r="AB10" s="6">
        <f t="shared" si="0"/>
        <v>8714316826.9300003</v>
      </c>
      <c r="AC10" s="6">
        <f t="shared" si="0"/>
        <v>0</v>
      </c>
      <c r="AD10" s="18" t="s">
        <v>29</v>
      </c>
      <c r="AE10" s="18" t="s">
        <v>29</v>
      </c>
      <c r="AF10" s="808"/>
      <c r="AG10" s="806"/>
    </row>
    <row r="11" spans="1:33" ht="24" customHeight="1">
      <c r="A11" s="916" t="s">
        <v>31</v>
      </c>
      <c r="B11" s="917"/>
      <c r="C11" s="16">
        <f t="shared" ref="C11:AC11" si="1">C25+C37+C44+C55+C249+C259+C266+C292+C311+C324+C339+C342+C354+C384+C396+C409</f>
        <v>3412161224.7199998</v>
      </c>
      <c r="D11" s="16">
        <f t="shared" si="1"/>
        <v>33971184.789999999</v>
      </c>
      <c r="E11" s="396">
        <f t="shared" si="1"/>
        <v>45</v>
      </c>
      <c r="F11" s="16">
        <f t="shared" si="1"/>
        <v>63412290.869999997</v>
      </c>
      <c r="G11" s="16">
        <f t="shared" si="1"/>
        <v>37763373.57</v>
      </c>
      <c r="H11" s="16">
        <f t="shared" si="1"/>
        <v>46650599.990000002</v>
      </c>
      <c r="I11" s="16">
        <f t="shared" si="1"/>
        <v>235350125.25</v>
      </c>
      <c r="J11" s="396">
        <f t="shared" si="1"/>
        <v>96</v>
      </c>
      <c r="K11" s="16">
        <f t="shared" si="1"/>
        <v>213175452.55000001</v>
      </c>
      <c r="L11" s="16">
        <f t="shared" si="1"/>
        <v>33626682.770000003</v>
      </c>
      <c r="M11" s="16">
        <f t="shared" si="1"/>
        <v>0</v>
      </c>
      <c r="N11" s="396">
        <f t="shared" si="1"/>
        <v>145</v>
      </c>
      <c r="O11" s="16">
        <f t="shared" si="1"/>
        <v>444366694.13</v>
      </c>
      <c r="P11" s="16">
        <f t="shared" si="1"/>
        <v>1138510656.8900001</v>
      </c>
      <c r="Q11" s="16">
        <f t="shared" si="1"/>
        <v>47661738.090000004</v>
      </c>
      <c r="R11" s="16">
        <f t="shared" si="1"/>
        <v>880446160.25</v>
      </c>
      <c r="S11" s="16">
        <f t="shared" si="1"/>
        <v>49816694.909999996</v>
      </c>
      <c r="T11" s="16">
        <f t="shared" si="1"/>
        <v>0</v>
      </c>
      <c r="U11" s="16">
        <f t="shared" si="1"/>
        <v>0</v>
      </c>
      <c r="V11" s="16">
        <f t="shared" si="1"/>
        <v>148049695.68000001</v>
      </c>
      <c r="W11" s="16">
        <f t="shared" si="1"/>
        <v>38298468.270000003</v>
      </c>
      <c r="X11" s="16">
        <f t="shared" si="1"/>
        <v>1061406.71</v>
      </c>
      <c r="Y11" s="16">
        <f t="shared" si="1"/>
        <v>100985605.84999999</v>
      </c>
      <c r="Z11" s="16">
        <f t="shared" si="1"/>
        <v>1315684188.8</v>
      </c>
      <c r="AA11" s="16">
        <f t="shared" si="1"/>
        <v>1500000</v>
      </c>
      <c r="AB11" s="16">
        <f t="shared" si="1"/>
        <v>1993991430.0699999</v>
      </c>
      <c r="AC11" s="16">
        <f t="shared" si="1"/>
        <v>0</v>
      </c>
      <c r="AD11" s="18" t="s">
        <v>29</v>
      </c>
      <c r="AE11" s="18" t="s">
        <v>29</v>
      </c>
      <c r="AF11" s="808"/>
      <c r="AG11" s="806"/>
    </row>
    <row r="12" spans="1:33" ht="24" customHeight="1">
      <c r="A12" s="888" t="s">
        <v>356</v>
      </c>
      <c r="B12" s="888"/>
      <c r="C12" s="888"/>
      <c r="D12" s="888"/>
      <c r="E12" s="888"/>
      <c r="F12" s="888"/>
      <c r="G12" s="888"/>
      <c r="H12" s="888"/>
      <c r="I12" s="888"/>
      <c r="J12" s="888"/>
      <c r="K12" s="888"/>
      <c r="L12" s="888"/>
      <c r="M12" s="888"/>
      <c r="N12" s="888"/>
      <c r="O12" s="888"/>
      <c r="P12" s="888"/>
      <c r="Q12" s="888"/>
      <c r="R12" s="888"/>
      <c r="S12" s="888"/>
      <c r="T12" s="889"/>
      <c r="U12" s="889"/>
      <c r="V12" s="888"/>
      <c r="W12" s="888"/>
      <c r="X12" s="888"/>
      <c r="Y12" s="888"/>
      <c r="Z12" s="888"/>
      <c r="AA12" s="888"/>
      <c r="AB12" s="888"/>
      <c r="AC12" s="888"/>
      <c r="AD12" s="888"/>
      <c r="AE12" s="888"/>
      <c r="AF12" s="808"/>
      <c r="AG12" s="806"/>
    </row>
    <row r="13" spans="1:33" s="76" customFormat="1" ht="24" customHeight="1">
      <c r="A13" s="18">
        <v>1</v>
      </c>
      <c r="B13" s="1" t="s">
        <v>32</v>
      </c>
      <c r="C13" s="4">
        <f>D13+F13+G13+H13+I13+K13+L13+M13+O13+P13+Q13+R13+S13+V13+W13+X13</f>
        <v>10123197.75</v>
      </c>
      <c r="D13" s="71"/>
      <c r="E13" s="726"/>
      <c r="F13" s="87"/>
      <c r="G13" s="727"/>
      <c r="H13" s="87"/>
      <c r="I13" s="87"/>
      <c r="J13" s="87"/>
      <c r="K13" s="87"/>
      <c r="L13" s="204"/>
      <c r="M13" s="204"/>
      <c r="N13" s="204"/>
      <c r="O13" s="204"/>
      <c r="P13" s="726"/>
      <c r="Q13" s="728">
        <f>ROUND(1642.1*706.71,2)</f>
        <v>1160488.49</v>
      </c>
      <c r="R13" s="728">
        <f>ROUND(1642.1*3284.11,2)</f>
        <v>5392837.0300000003</v>
      </c>
      <c r="S13" s="728">
        <f>ROUND(1642.1*1331.91,2)</f>
        <v>2187129.41</v>
      </c>
      <c r="T13" s="729"/>
      <c r="U13" s="729"/>
      <c r="V13" s="728">
        <v>1251636</v>
      </c>
      <c r="W13" s="725">
        <f>ROUND((Q13+R13+S13)*1.5%,2)</f>
        <v>131106.82</v>
      </c>
      <c r="X13" s="726"/>
      <c r="Y13" s="726"/>
      <c r="Z13" s="726"/>
      <c r="AA13" s="726"/>
      <c r="AB13" s="725">
        <f>C13</f>
        <v>10123197.75</v>
      </c>
      <c r="AC13" s="87"/>
      <c r="AD13" s="18">
        <v>2023</v>
      </c>
      <c r="AE13" s="18">
        <v>2023</v>
      </c>
      <c r="AF13" s="92"/>
      <c r="AG13" s="92"/>
    </row>
    <row r="14" spans="1:33" s="76" customFormat="1" ht="24" customHeight="1">
      <c r="A14" s="18">
        <f>A13+1</f>
        <v>2</v>
      </c>
      <c r="B14" s="1" t="s">
        <v>33</v>
      </c>
      <c r="C14" s="4">
        <f t="shared" ref="C14:C24" si="2">D14+F14+G14+H14+I14+K14+L14+M14+O14+P14+Q14+R14+S14+V14+W14+X14</f>
        <v>19410459.050000001</v>
      </c>
      <c r="D14" s="71"/>
      <c r="E14" s="726"/>
      <c r="F14" s="87"/>
      <c r="G14" s="727"/>
      <c r="H14" s="87"/>
      <c r="I14" s="87"/>
      <c r="J14" s="87"/>
      <c r="K14" s="87"/>
      <c r="L14" s="204"/>
      <c r="M14" s="204"/>
      <c r="N14" s="204"/>
      <c r="O14" s="204"/>
      <c r="P14" s="726"/>
      <c r="Q14" s="728">
        <f>ROUND(3229*706.71,2)</f>
        <v>2281966.59</v>
      </c>
      <c r="R14" s="728">
        <f>ROUND(3229*3435.59,2)</f>
        <v>11093520.109999999</v>
      </c>
      <c r="S14" s="728">
        <f>ROUND(3229*1331.91,2)</f>
        <v>4300737.3899999997</v>
      </c>
      <c r="T14" s="729"/>
      <c r="U14" s="729"/>
      <c r="V14" s="728">
        <v>1469091.6</v>
      </c>
      <c r="W14" s="725">
        <f>ROUND((Q14+R14+S14)*1.5%,2)</f>
        <v>265143.36</v>
      </c>
      <c r="X14" s="726"/>
      <c r="Y14" s="726"/>
      <c r="Z14" s="726"/>
      <c r="AA14" s="726"/>
      <c r="AB14" s="725">
        <f t="shared" ref="AB14:AB24" si="3">C14</f>
        <v>19410459.050000001</v>
      </c>
      <c r="AC14" s="87"/>
      <c r="AD14" s="18">
        <v>2023</v>
      </c>
      <c r="AE14" s="18">
        <v>2023</v>
      </c>
      <c r="AF14" s="92"/>
      <c r="AG14" s="92"/>
    </row>
    <row r="15" spans="1:33" s="76" customFormat="1" ht="24" customHeight="1">
      <c r="A15" s="18">
        <f t="shared" ref="A15:A24" si="4">A14+1</f>
        <v>3</v>
      </c>
      <c r="B15" s="1" t="s">
        <v>34</v>
      </c>
      <c r="C15" s="4">
        <f t="shared" si="2"/>
        <v>7672296.1799999997</v>
      </c>
      <c r="D15" s="71"/>
      <c r="E15" s="726"/>
      <c r="F15" s="87"/>
      <c r="G15" s="727"/>
      <c r="H15" s="87"/>
      <c r="I15" s="87"/>
      <c r="J15" s="87"/>
      <c r="K15" s="87"/>
      <c r="L15" s="204"/>
      <c r="M15" s="204"/>
      <c r="N15" s="204"/>
      <c r="O15" s="204"/>
      <c r="P15" s="726"/>
      <c r="Q15" s="728">
        <f>ROUND(3168*706.71,2)</f>
        <v>2238857.2799999998</v>
      </c>
      <c r="R15" s="728"/>
      <c r="S15" s="728">
        <f>ROUND(3168*1331.91,2)</f>
        <v>4219490.88</v>
      </c>
      <c r="T15" s="729"/>
      <c r="U15" s="729"/>
      <c r="V15" s="728">
        <v>1117072.8</v>
      </c>
      <c r="W15" s="725">
        <f>ROUND((Q15+S15)*1.5%,2)</f>
        <v>96875.22</v>
      </c>
      <c r="X15" s="726"/>
      <c r="Y15" s="726"/>
      <c r="Z15" s="726"/>
      <c r="AA15" s="726"/>
      <c r="AB15" s="725">
        <f t="shared" si="3"/>
        <v>7672296.1799999997</v>
      </c>
      <c r="AC15" s="87"/>
      <c r="AD15" s="18">
        <v>2023</v>
      </c>
      <c r="AE15" s="18">
        <v>2023</v>
      </c>
      <c r="AF15" s="92"/>
      <c r="AG15" s="92"/>
    </row>
    <row r="16" spans="1:33" s="76" customFormat="1" ht="24" customHeight="1">
      <c r="A16" s="18">
        <f t="shared" si="4"/>
        <v>4</v>
      </c>
      <c r="B16" s="1" t="s">
        <v>35</v>
      </c>
      <c r="C16" s="4">
        <f t="shared" si="2"/>
        <v>8656814.0399999991</v>
      </c>
      <c r="D16" s="71"/>
      <c r="E16" s="726"/>
      <c r="F16" s="87"/>
      <c r="G16" s="727"/>
      <c r="H16" s="87"/>
      <c r="I16" s="87"/>
      <c r="J16" s="87"/>
      <c r="K16" s="87"/>
      <c r="L16" s="204"/>
      <c r="M16" s="204"/>
      <c r="N16" s="204"/>
      <c r="O16" s="204"/>
      <c r="P16" s="726"/>
      <c r="Q16" s="728">
        <f>ROUND(2212*1954.25,2)</f>
        <v>4322801</v>
      </c>
      <c r="R16" s="728"/>
      <c r="S16" s="728">
        <f>ROUND(2212*1462.9,2)</f>
        <v>3235934.8</v>
      </c>
      <c r="T16" s="729"/>
      <c r="U16" s="729"/>
      <c r="V16" s="728">
        <v>984697.2</v>
      </c>
      <c r="W16" s="725">
        <f t="shared" ref="W16:W17" si="5">ROUND((Q16+S16)*1.5%,2)</f>
        <v>113381.04</v>
      </c>
      <c r="X16" s="726"/>
      <c r="Y16" s="726"/>
      <c r="Z16" s="726"/>
      <c r="AA16" s="726"/>
      <c r="AB16" s="725">
        <f t="shared" si="3"/>
        <v>8656814.0399999991</v>
      </c>
      <c r="AC16" s="87"/>
      <c r="AD16" s="18">
        <v>2023</v>
      </c>
      <c r="AE16" s="18">
        <v>2023</v>
      </c>
      <c r="AF16" s="92"/>
      <c r="AG16" s="92"/>
    </row>
    <row r="17" spans="1:33" s="76" customFormat="1" ht="24" customHeight="1">
      <c r="A17" s="18">
        <f t="shared" si="4"/>
        <v>5</v>
      </c>
      <c r="B17" s="1" t="s">
        <v>36</v>
      </c>
      <c r="C17" s="4">
        <f t="shared" si="2"/>
        <v>7950120.29</v>
      </c>
      <c r="D17" s="71"/>
      <c r="E17" s="726"/>
      <c r="F17" s="87"/>
      <c r="G17" s="727"/>
      <c r="H17" s="87"/>
      <c r="I17" s="87"/>
      <c r="J17" s="87"/>
      <c r="K17" s="87"/>
      <c r="L17" s="204"/>
      <c r="M17" s="204"/>
      <c r="N17" s="204"/>
      <c r="O17" s="204"/>
      <c r="P17" s="726"/>
      <c r="Q17" s="728">
        <f>ROUND(1998.5*1954.25,2)</f>
        <v>3905568.63</v>
      </c>
      <c r="R17" s="728"/>
      <c r="S17" s="728">
        <f>ROUND(1998.5*1462.9,2)</f>
        <v>2923605.65</v>
      </c>
      <c r="T17" s="729"/>
      <c r="U17" s="729"/>
      <c r="V17" s="728">
        <v>1018508.4</v>
      </c>
      <c r="W17" s="725">
        <f t="shared" si="5"/>
        <v>102437.61</v>
      </c>
      <c r="X17" s="726"/>
      <c r="Y17" s="726"/>
      <c r="Z17" s="726"/>
      <c r="AA17" s="726"/>
      <c r="AB17" s="725">
        <f t="shared" si="3"/>
        <v>7950120.29</v>
      </c>
      <c r="AC17" s="87"/>
      <c r="AD17" s="18">
        <v>2023</v>
      </c>
      <c r="AE17" s="18">
        <v>2023</v>
      </c>
      <c r="AF17" s="92"/>
      <c r="AG17" s="92"/>
    </row>
    <row r="18" spans="1:33" s="76" customFormat="1" ht="24" customHeight="1">
      <c r="A18" s="18">
        <f t="shared" si="4"/>
        <v>6</v>
      </c>
      <c r="B18" s="1" t="s">
        <v>44</v>
      </c>
      <c r="C18" s="4">
        <f t="shared" si="2"/>
        <v>15249152.15</v>
      </c>
      <c r="D18" s="71"/>
      <c r="E18" s="726"/>
      <c r="F18" s="87"/>
      <c r="G18" s="727"/>
      <c r="H18" s="87"/>
      <c r="I18" s="87"/>
      <c r="J18" s="87"/>
      <c r="K18" s="87"/>
      <c r="L18" s="204"/>
      <c r="M18" s="204"/>
      <c r="N18" s="204"/>
      <c r="O18" s="204"/>
      <c r="P18" s="725">
        <v>15023795.220000001</v>
      </c>
      <c r="Q18" s="728"/>
      <c r="R18" s="728"/>
      <c r="S18" s="728"/>
      <c r="T18" s="729"/>
      <c r="U18" s="729"/>
      <c r="V18" s="728"/>
      <c r="W18" s="725">
        <f>P18*1.5%</f>
        <v>225356.93</v>
      </c>
      <c r="X18" s="726"/>
      <c r="Y18" s="726"/>
      <c r="Z18" s="726"/>
      <c r="AA18" s="726"/>
      <c r="AB18" s="725">
        <f t="shared" si="3"/>
        <v>15249152.15</v>
      </c>
      <c r="AC18" s="87"/>
      <c r="AD18" s="18">
        <v>2022</v>
      </c>
      <c r="AE18" s="18">
        <v>2023</v>
      </c>
      <c r="AF18" s="92"/>
      <c r="AG18" s="92"/>
    </row>
    <row r="19" spans="1:33" s="76" customFormat="1" ht="24" customHeight="1">
      <c r="A19" s="18">
        <f t="shared" si="4"/>
        <v>7</v>
      </c>
      <c r="B19" s="1" t="s">
        <v>45</v>
      </c>
      <c r="C19" s="4">
        <f t="shared" si="2"/>
        <v>15581524.689999999</v>
      </c>
      <c r="D19" s="71"/>
      <c r="E19" s="726"/>
      <c r="F19" s="87"/>
      <c r="G19" s="727"/>
      <c r="H19" s="87"/>
      <c r="I19" s="87"/>
      <c r="J19" s="87"/>
      <c r="K19" s="87"/>
      <c r="L19" s="204"/>
      <c r="M19" s="204"/>
      <c r="N19" s="204"/>
      <c r="O19" s="204"/>
      <c r="P19" s="725">
        <v>15351255.85</v>
      </c>
      <c r="Q19" s="728"/>
      <c r="R19" s="728"/>
      <c r="S19" s="728"/>
      <c r="T19" s="729"/>
      <c r="U19" s="729"/>
      <c r="V19" s="728"/>
      <c r="W19" s="725">
        <f>P19*1.5%</f>
        <v>230268.84</v>
      </c>
      <c r="X19" s="726"/>
      <c r="Y19" s="726"/>
      <c r="Z19" s="726"/>
      <c r="AA19" s="726"/>
      <c r="AB19" s="725">
        <f t="shared" si="3"/>
        <v>15581524.689999999</v>
      </c>
      <c r="AC19" s="87"/>
      <c r="AD19" s="18">
        <v>2022</v>
      </c>
      <c r="AE19" s="18">
        <v>2023</v>
      </c>
      <c r="AF19" s="92"/>
      <c r="AG19" s="92"/>
    </row>
    <row r="20" spans="1:33" s="76" customFormat="1" ht="24" customHeight="1">
      <c r="A20" s="18">
        <f t="shared" si="4"/>
        <v>8</v>
      </c>
      <c r="B20" s="1" t="s">
        <v>37</v>
      </c>
      <c r="C20" s="4">
        <f t="shared" si="2"/>
        <v>6071631.1200000001</v>
      </c>
      <c r="D20" s="71"/>
      <c r="E20" s="726"/>
      <c r="F20" s="87"/>
      <c r="G20" s="727"/>
      <c r="H20" s="87"/>
      <c r="I20" s="87"/>
      <c r="J20" s="87"/>
      <c r="K20" s="87"/>
      <c r="L20" s="204"/>
      <c r="M20" s="204"/>
      <c r="N20" s="204"/>
      <c r="O20" s="204"/>
      <c r="P20" s="726"/>
      <c r="Q20" s="728"/>
      <c r="R20" s="728">
        <f>ROUND(1574.4*3284.11,2)</f>
        <v>5170502.78</v>
      </c>
      <c r="S20" s="728"/>
      <c r="T20" s="729"/>
      <c r="U20" s="729"/>
      <c r="V20" s="728">
        <v>823570.8</v>
      </c>
      <c r="W20" s="725">
        <f>ROUND(R20*1.5%,2)</f>
        <v>77557.539999999994</v>
      </c>
      <c r="X20" s="726"/>
      <c r="Y20" s="726"/>
      <c r="Z20" s="726"/>
      <c r="AA20" s="726"/>
      <c r="AB20" s="725">
        <f t="shared" si="3"/>
        <v>6071631.1200000001</v>
      </c>
      <c r="AC20" s="87"/>
      <c r="AD20" s="18">
        <v>2023</v>
      </c>
      <c r="AE20" s="18">
        <v>2023</v>
      </c>
      <c r="AF20" s="92"/>
      <c r="AG20" s="92"/>
    </row>
    <row r="21" spans="1:33" s="76" customFormat="1" ht="24" customHeight="1">
      <c r="A21" s="18">
        <f t="shared" si="4"/>
        <v>9</v>
      </c>
      <c r="B21" s="1" t="s">
        <v>46</v>
      </c>
      <c r="C21" s="4">
        <f t="shared" si="2"/>
        <v>12304924.08</v>
      </c>
      <c r="D21" s="71"/>
      <c r="E21" s="726"/>
      <c r="F21" s="87"/>
      <c r="G21" s="727"/>
      <c r="H21" s="87"/>
      <c r="I21" s="87"/>
      <c r="J21" s="87"/>
      <c r="K21" s="87"/>
      <c r="L21" s="204"/>
      <c r="M21" s="204"/>
      <c r="N21" s="204"/>
      <c r="O21" s="204"/>
      <c r="P21" s="725">
        <v>12123077.91</v>
      </c>
      <c r="Q21" s="728"/>
      <c r="R21" s="728"/>
      <c r="S21" s="728"/>
      <c r="T21" s="729"/>
      <c r="U21" s="729"/>
      <c r="V21" s="728"/>
      <c r="W21" s="725">
        <f>ROUND(P21*1.5%,2)</f>
        <v>181846.17</v>
      </c>
      <c r="X21" s="726"/>
      <c r="Y21" s="726"/>
      <c r="Z21" s="726"/>
      <c r="AA21" s="726"/>
      <c r="AB21" s="725">
        <f t="shared" si="3"/>
        <v>12304924.08</v>
      </c>
      <c r="AC21" s="87"/>
      <c r="AD21" s="18">
        <v>2022</v>
      </c>
      <c r="AE21" s="18">
        <v>2023</v>
      </c>
      <c r="AF21" s="92"/>
      <c r="AG21" s="92"/>
    </row>
    <row r="22" spans="1:33" s="76" customFormat="1" ht="24" customHeight="1">
      <c r="A22" s="18">
        <f t="shared" si="4"/>
        <v>10</v>
      </c>
      <c r="B22" s="2" t="s">
        <v>39</v>
      </c>
      <c r="C22" s="4">
        <f t="shared" si="2"/>
        <v>18692004.920000002</v>
      </c>
      <c r="D22" s="71"/>
      <c r="E22" s="726"/>
      <c r="F22" s="87"/>
      <c r="G22" s="727"/>
      <c r="H22" s="87"/>
      <c r="I22" s="87"/>
      <c r="J22" s="87"/>
      <c r="K22" s="87"/>
      <c r="L22" s="204"/>
      <c r="M22" s="204"/>
      <c r="N22" s="204"/>
      <c r="O22" s="204"/>
      <c r="P22" s="726"/>
      <c r="Q22" s="728">
        <f>ROUND(3114.7*706.71,2)</f>
        <v>2201189.64</v>
      </c>
      <c r="R22" s="728">
        <f>ROUND(3114.7*3435.59,2)</f>
        <v>10700832.17</v>
      </c>
      <c r="S22" s="728">
        <f>ROUND(3114.7*1331.91,2)</f>
        <v>4148500.08</v>
      </c>
      <c r="T22" s="729"/>
      <c r="U22" s="729"/>
      <c r="V22" s="728">
        <v>1385725.2</v>
      </c>
      <c r="W22" s="725">
        <f>ROUND((Q22+R22+S22)*1.5%,2)</f>
        <v>255757.83</v>
      </c>
      <c r="X22" s="726"/>
      <c r="Y22" s="726"/>
      <c r="Z22" s="726"/>
      <c r="AA22" s="726"/>
      <c r="AB22" s="725">
        <f t="shared" si="3"/>
        <v>18692004.920000002</v>
      </c>
      <c r="AC22" s="87"/>
      <c r="AD22" s="18">
        <v>2023</v>
      </c>
      <c r="AE22" s="18">
        <v>2023</v>
      </c>
      <c r="AF22" s="92"/>
      <c r="AG22" s="92"/>
    </row>
    <row r="23" spans="1:33" s="76" customFormat="1" ht="24" customHeight="1">
      <c r="A23" s="18">
        <f t="shared" si="4"/>
        <v>11</v>
      </c>
      <c r="B23" s="2" t="s">
        <v>40</v>
      </c>
      <c r="C23" s="4">
        <f t="shared" si="2"/>
        <v>14030890.199999999</v>
      </c>
      <c r="D23" s="71"/>
      <c r="E23" s="726"/>
      <c r="F23" s="87"/>
      <c r="G23" s="727"/>
      <c r="H23" s="87"/>
      <c r="I23" s="87"/>
      <c r="J23" s="87"/>
      <c r="K23" s="87"/>
      <c r="L23" s="204"/>
      <c r="M23" s="204"/>
      <c r="N23" s="204"/>
      <c r="O23" s="204"/>
      <c r="P23" s="728">
        <v>13074960.59</v>
      </c>
      <c r="Q23" s="726"/>
      <c r="R23" s="726"/>
      <c r="S23" s="726"/>
      <c r="T23" s="730"/>
      <c r="U23" s="730"/>
      <c r="V23" s="101">
        <v>759805.2</v>
      </c>
      <c r="W23" s="728">
        <v>196124.41</v>
      </c>
      <c r="X23" s="726"/>
      <c r="Y23" s="726"/>
      <c r="Z23" s="726"/>
      <c r="AA23" s="726"/>
      <c r="AB23" s="725">
        <f t="shared" si="3"/>
        <v>14030890.199999999</v>
      </c>
      <c r="AC23" s="87"/>
      <c r="AD23" s="18">
        <v>2023</v>
      </c>
      <c r="AE23" s="18">
        <v>2023</v>
      </c>
      <c r="AF23" s="92"/>
      <c r="AG23" s="92"/>
    </row>
    <row r="24" spans="1:33" s="76" customFormat="1" ht="24" customHeight="1">
      <c r="A24" s="18">
        <f t="shared" si="4"/>
        <v>12</v>
      </c>
      <c r="B24" s="2" t="s">
        <v>41</v>
      </c>
      <c r="C24" s="4">
        <f t="shared" si="2"/>
        <v>10331910.52</v>
      </c>
      <c r="D24" s="71"/>
      <c r="E24" s="726"/>
      <c r="F24" s="87"/>
      <c r="G24" s="727"/>
      <c r="H24" s="87"/>
      <c r="I24" s="87"/>
      <c r="J24" s="87"/>
      <c r="K24" s="87"/>
      <c r="L24" s="204"/>
      <c r="M24" s="204"/>
      <c r="N24" s="204"/>
      <c r="O24" s="204"/>
      <c r="P24" s="728">
        <f>ROUND(2543*3727.29,2)</f>
        <v>9478498.4700000007</v>
      </c>
      <c r="Q24" s="726"/>
      <c r="R24" s="726"/>
      <c r="S24" s="726"/>
      <c r="T24" s="730"/>
      <c r="U24" s="730"/>
      <c r="V24" s="101">
        <v>712078.8</v>
      </c>
      <c r="W24" s="728">
        <v>141333.25</v>
      </c>
      <c r="X24" s="726"/>
      <c r="Y24" s="726"/>
      <c r="Z24" s="726"/>
      <c r="AA24" s="726"/>
      <c r="AB24" s="725">
        <f t="shared" si="3"/>
        <v>10331910.52</v>
      </c>
      <c r="AC24" s="87"/>
      <c r="AD24" s="18">
        <v>2023</v>
      </c>
      <c r="AE24" s="18">
        <v>2023</v>
      </c>
      <c r="AF24" s="92"/>
      <c r="AG24" s="92"/>
    </row>
    <row r="25" spans="1:33" ht="24" customHeight="1">
      <c r="A25" s="883" t="s">
        <v>42</v>
      </c>
      <c r="B25" s="883"/>
      <c r="C25" s="6">
        <f>SUM(C13:C24)</f>
        <v>146074924.99000001</v>
      </c>
      <c r="D25" s="6">
        <f t="shared" ref="D25:AC25" si="6">SUM(D13:D24)</f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H25" s="6">
        <f t="shared" si="6"/>
        <v>0</v>
      </c>
      <c r="I25" s="6">
        <f t="shared" si="6"/>
        <v>0</v>
      </c>
      <c r="J25" s="6">
        <f t="shared" si="6"/>
        <v>0</v>
      </c>
      <c r="K25" s="6">
        <f t="shared" si="6"/>
        <v>0</v>
      </c>
      <c r="L25" s="6">
        <f t="shared" si="6"/>
        <v>0</v>
      </c>
      <c r="M25" s="6">
        <f t="shared" si="6"/>
        <v>0</v>
      </c>
      <c r="N25" s="6">
        <f t="shared" si="6"/>
        <v>0</v>
      </c>
      <c r="O25" s="6">
        <f t="shared" si="6"/>
        <v>0</v>
      </c>
      <c r="P25" s="6">
        <f t="shared" si="6"/>
        <v>65051588.039999999</v>
      </c>
      <c r="Q25" s="6">
        <f t="shared" si="6"/>
        <v>16110871.630000001</v>
      </c>
      <c r="R25" s="6">
        <f t="shared" si="6"/>
        <v>32357692.09</v>
      </c>
      <c r="S25" s="6">
        <f t="shared" si="6"/>
        <v>21015398.210000001</v>
      </c>
      <c r="T25" s="140"/>
      <c r="U25" s="140"/>
      <c r="V25" s="6">
        <f t="shared" si="6"/>
        <v>9522186</v>
      </c>
      <c r="W25" s="6">
        <f t="shared" si="6"/>
        <v>2017189.02</v>
      </c>
      <c r="X25" s="6">
        <f t="shared" si="6"/>
        <v>0</v>
      </c>
      <c r="Y25" s="6">
        <f t="shared" si="6"/>
        <v>0</v>
      </c>
      <c r="Z25" s="6">
        <f t="shared" si="6"/>
        <v>0</v>
      </c>
      <c r="AA25" s="6">
        <f t="shared" si="6"/>
        <v>0</v>
      </c>
      <c r="AB25" s="6">
        <f t="shared" si="6"/>
        <v>146074924.99000001</v>
      </c>
      <c r="AC25" s="34">
        <f t="shared" si="6"/>
        <v>0</v>
      </c>
      <c r="AD25" s="798" t="s">
        <v>29</v>
      </c>
      <c r="AE25" s="798" t="s">
        <v>29</v>
      </c>
      <c r="AF25" s="808"/>
      <c r="AG25" s="806"/>
    </row>
    <row r="26" spans="1:33" ht="24" customHeight="1">
      <c r="A26" s="888" t="s">
        <v>359</v>
      </c>
      <c r="B26" s="888"/>
      <c r="C26" s="888"/>
      <c r="D26" s="888"/>
      <c r="E26" s="888"/>
      <c r="F26" s="888"/>
      <c r="G26" s="888"/>
      <c r="H26" s="888"/>
      <c r="I26" s="888"/>
      <c r="J26" s="888"/>
      <c r="K26" s="888"/>
      <c r="L26" s="888"/>
      <c r="M26" s="888"/>
      <c r="N26" s="888"/>
      <c r="O26" s="888"/>
      <c r="P26" s="888"/>
      <c r="Q26" s="888"/>
      <c r="R26" s="888"/>
      <c r="S26" s="888"/>
      <c r="T26" s="889"/>
      <c r="U26" s="889"/>
      <c r="V26" s="888"/>
      <c r="W26" s="888"/>
      <c r="X26" s="888"/>
      <c r="Y26" s="888"/>
      <c r="Z26" s="888"/>
      <c r="AA26" s="888"/>
      <c r="AB26" s="888"/>
      <c r="AC26" s="888"/>
      <c r="AD26" s="888"/>
      <c r="AE26" s="888"/>
      <c r="AF26" s="808"/>
      <c r="AG26" s="806"/>
    </row>
    <row r="27" spans="1:33" s="76" customFormat="1" ht="24" customHeight="1">
      <c r="A27" s="18">
        <f>A24+1</f>
        <v>13</v>
      </c>
      <c r="B27" s="35" t="s">
        <v>345</v>
      </c>
      <c r="C27" s="725">
        <f>D27+F27+G27+H27+I27+K27+L27+M27+O27+P27+Q27+R27+S27+W27+V27+X27</f>
        <v>69141094.030000001</v>
      </c>
      <c r="D27" s="87"/>
      <c r="E27" s="87"/>
      <c r="F27" s="87"/>
      <c r="G27" s="204"/>
      <c r="H27" s="87"/>
      <c r="I27" s="87"/>
      <c r="J27" s="87"/>
      <c r="K27" s="87"/>
      <c r="L27" s="204"/>
      <c r="M27" s="204"/>
      <c r="N27" s="204"/>
      <c r="O27" s="204"/>
      <c r="P27" s="86">
        <v>28264202.41</v>
      </c>
      <c r="Q27" s="87"/>
      <c r="R27" s="725">
        <v>37794347.369999997</v>
      </c>
      <c r="S27" s="87"/>
      <c r="T27" s="124"/>
      <c r="U27" s="124"/>
      <c r="V27" s="86">
        <v>2091666</v>
      </c>
      <c r="W27" s="725">
        <v>990878.25</v>
      </c>
      <c r="X27" s="87"/>
      <c r="Y27" s="87"/>
      <c r="Z27" s="87"/>
      <c r="AA27" s="87"/>
      <c r="AB27" s="86">
        <f>C27</f>
        <v>69141094.030000001</v>
      </c>
      <c r="AC27" s="87"/>
      <c r="AD27" s="18">
        <v>2023</v>
      </c>
      <c r="AE27" s="18">
        <v>2024</v>
      </c>
      <c r="AF27" s="75"/>
      <c r="AG27" s="92"/>
    </row>
    <row r="28" spans="1:33" s="76" customFormat="1" ht="24" customHeight="1">
      <c r="A28" s="18">
        <f>A27+1</f>
        <v>14</v>
      </c>
      <c r="B28" s="35" t="s">
        <v>43</v>
      </c>
      <c r="C28" s="725">
        <f>D28+F28+G28+H28+I28+K28+L28+M28+O28+P28+Q28+R28+S28+W28+V28+X28</f>
        <v>32521563.59</v>
      </c>
      <c r="D28" s="725">
        <f>ROUND(4225.7*660.21,2)</f>
        <v>2789849.4</v>
      </c>
      <c r="E28" s="731"/>
      <c r="F28" s="725"/>
      <c r="G28" s="727">
        <f>ROUND(4225.7*620.83,2)</f>
        <v>2623441.33</v>
      </c>
      <c r="H28" s="201">
        <f>ROUND(4225.7*665.62,2)</f>
        <v>2812710.43</v>
      </c>
      <c r="I28" s="201">
        <f>ROUND(4225.7*3201.73,2)</f>
        <v>13529550.460000001</v>
      </c>
      <c r="J28" s="87">
        <v>1</v>
      </c>
      <c r="K28" s="725">
        <v>2501151.2400000002</v>
      </c>
      <c r="L28" s="204"/>
      <c r="M28" s="204"/>
      <c r="N28" s="204"/>
      <c r="O28" s="204"/>
      <c r="P28" s="726"/>
      <c r="Q28" s="725">
        <f>ROUND(4225.7*706.71,2)</f>
        <v>2986344.45</v>
      </c>
      <c r="R28" s="726"/>
      <c r="S28" s="201">
        <f>ROUND(4225.7*1135.41,2)</f>
        <v>4797902.04</v>
      </c>
      <c r="T28" s="732"/>
      <c r="U28" s="732"/>
      <c r="V28" s="726"/>
      <c r="W28" s="86">
        <f>ROUND((D28+F28+G28+H28+I28+K28+Q28+S28)*1.5%,2)</f>
        <v>480614.24</v>
      </c>
      <c r="X28" s="726"/>
      <c r="Y28" s="726"/>
      <c r="Z28" s="726"/>
      <c r="AA28" s="726"/>
      <c r="AB28" s="86">
        <f>C28</f>
        <v>32521563.59</v>
      </c>
      <c r="AC28" s="87"/>
      <c r="AD28" s="18">
        <v>2023</v>
      </c>
      <c r="AE28" s="18">
        <v>2023</v>
      </c>
      <c r="AF28" s="75"/>
      <c r="AG28" s="92"/>
    </row>
    <row r="29" spans="1:33" s="76" customFormat="1" ht="24" customHeight="1">
      <c r="A29" s="18">
        <f t="shared" ref="A29:A36" si="7">A28+1</f>
        <v>15</v>
      </c>
      <c r="B29" s="37" t="s">
        <v>47</v>
      </c>
      <c r="C29" s="725">
        <f>D29+F29+G29+H29+I29+K29+L29+M29+O29+P29+Q29+R29+S29+W29+V29+X29</f>
        <v>12028579.49</v>
      </c>
      <c r="D29" s="726"/>
      <c r="E29" s="726"/>
      <c r="F29" s="87"/>
      <c r="G29" s="727"/>
      <c r="H29" s="87"/>
      <c r="I29" s="87"/>
      <c r="J29" s="87"/>
      <c r="K29" s="87"/>
      <c r="L29" s="204"/>
      <c r="M29" s="204"/>
      <c r="N29" s="204"/>
      <c r="O29" s="204"/>
      <c r="P29" s="725">
        <v>11181714.060000001</v>
      </c>
      <c r="Q29" s="726"/>
      <c r="R29" s="726"/>
      <c r="S29" s="726"/>
      <c r="T29" s="730"/>
      <c r="U29" s="730"/>
      <c r="V29" s="725">
        <v>635996.76</v>
      </c>
      <c r="W29" s="725">
        <v>210868.67</v>
      </c>
      <c r="X29" s="726"/>
      <c r="Y29" s="726"/>
      <c r="Z29" s="86">
        <f>C29</f>
        <v>12028579.49</v>
      </c>
      <c r="AA29" s="726"/>
      <c r="AB29" s="86"/>
      <c r="AC29" s="87"/>
      <c r="AD29" s="18">
        <v>2022</v>
      </c>
      <c r="AE29" s="18">
        <v>2023</v>
      </c>
      <c r="AF29" s="75"/>
      <c r="AG29" s="92"/>
    </row>
    <row r="30" spans="1:33" s="76" customFormat="1" ht="24" customHeight="1">
      <c r="A30" s="18">
        <f t="shared" si="7"/>
        <v>16</v>
      </c>
      <c r="B30" s="611" t="s">
        <v>1313</v>
      </c>
      <c r="C30" s="587">
        <f>D30+F30+G30+H30+I30+K30+L30+M30+O30+P30+Q30+R30+S30+W30+V30+X30</f>
        <v>3750000</v>
      </c>
      <c r="D30" s="836"/>
      <c r="E30" s="831">
        <v>2</v>
      </c>
      <c r="F30" s="589">
        <f>1235745*E30</f>
        <v>2471490</v>
      </c>
      <c r="G30" s="837"/>
      <c r="H30" s="585"/>
      <c r="I30" s="585"/>
      <c r="J30" s="831">
        <v>2</v>
      </c>
      <c r="K30" s="589">
        <f>639255*J30</f>
        <v>1278510</v>
      </c>
      <c r="L30" s="606"/>
      <c r="M30" s="606"/>
      <c r="N30" s="606"/>
      <c r="O30" s="606"/>
      <c r="P30" s="587"/>
      <c r="Q30" s="836"/>
      <c r="R30" s="836"/>
      <c r="S30" s="836"/>
      <c r="T30" s="836"/>
      <c r="U30" s="836"/>
      <c r="V30" s="587"/>
      <c r="W30" s="587"/>
      <c r="X30" s="836"/>
      <c r="Y30" s="836"/>
      <c r="Z30" s="589"/>
      <c r="AA30" s="836"/>
      <c r="AB30" s="589">
        <f>C30</f>
        <v>3750000</v>
      </c>
      <c r="AC30" s="585"/>
      <c r="AD30" s="585">
        <v>2023</v>
      </c>
      <c r="AE30" s="585">
        <v>2023</v>
      </c>
      <c r="AF30" s="92"/>
      <c r="AG30" s="92"/>
    </row>
    <row r="31" spans="1:33" s="76" customFormat="1" ht="24" customHeight="1">
      <c r="A31" s="18">
        <f t="shared" si="7"/>
        <v>17</v>
      </c>
      <c r="B31" s="512" t="s">
        <v>999</v>
      </c>
      <c r="C31" s="563">
        <f t="shared" ref="C31:C36" si="8">D31+F31+G31+H31+I31+K31+L31+M31+O31+P31+Q31+R31+S31+W31+V31+X31</f>
        <v>2750000</v>
      </c>
      <c r="D31" s="733"/>
      <c r="E31" s="734">
        <v>1</v>
      </c>
      <c r="F31" s="735">
        <v>1612809</v>
      </c>
      <c r="G31" s="736"/>
      <c r="H31" s="734"/>
      <c r="I31" s="734"/>
      <c r="J31" s="734">
        <v>1</v>
      </c>
      <c r="K31" s="735">
        <f>2700000-1612809</f>
        <v>1087191</v>
      </c>
      <c r="L31" s="737"/>
      <c r="M31" s="737"/>
      <c r="N31" s="737"/>
      <c r="O31" s="737"/>
      <c r="P31" s="563"/>
      <c r="Q31" s="733"/>
      <c r="R31" s="733"/>
      <c r="S31" s="733"/>
      <c r="T31" s="733"/>
      <c r="U31" s="733"/>
      <c r="V31" s="563">
        <v>50000</v>
      </c>
      <c r="W31" s="563"/>
      <c r="X31" s="733"/>
      <c r="Y31" s="733"/>
      <c r="Z31" s="735"/>
      <c r="AA31" s="733"/>
      <c r="AB31" s="735">
        <f t="shared" ref="AB31:AB36" si="9">C31</f>
        <v>2750000</v>
      </c>
      <c r="AC31" s="734"/>
      <c r="AD31" s="426">
        <v>2023</v>
      </c>
      <c r="AE31" s="426">
        <v>2023</v>
      </c>
      <c r="AF31" s="92"/>
      <c r="AG31" s="92"/>
    </row>
    <row r="32" spans="1:33" s="76" customFormat="1" ht="24" customHeight="1">
      <c r="A32" s="18">
        <f t="shared" si="7"/>
        <v>18</v>
      </c>
      <c r="B32" s="512" t="s">
        <v>1000</v>
      </c>
      <c r="C32" s="563">
        <f t="shared" si="8"/>
        <v>2750000</v>
      </c>
      <c r="D32" s="733"/>
      <c r="E32" s="734">
        <v>1</v>
      </c>
      <c r="F32" s="735">
        <v>1612809</v>
      </c>
      <c r="G32" s="736"/>
      <c r="H32" s="734"/>
      <c r="I32" s="734"/>
      <c r="J32" s="734">
        <v>1</v>
      </c>
      <c r="K32" s="735">
        <f t="shared" ref="K32:K33" si="10">2700000-1612809</f>
        <v>1087191</v>
      </c>
      <c r="L32" s="737"/>
      <c r="M32" s="737"/>
      <c r="N32" s="737"/>
      <c r="O32" s="737"/>
      <c r="P32" s="563"/>
      <c r="Q32" s="733"/>
      <c r="R32" s="733"/>
      <c r="S32" s="733"/>
      <c r="T32" s="733"/>
      <c r="U32" s="733"/>
      <c r="V32" s="563">
        <v>50000</v>
      </c>
      <c r="W32" s="563"/>
      <c r="X32" s="733"/>
      <c r="Y32" s="733"/>
      <c r="Z32" s="735"/>
      <c r="AA32" s="733"/>
      <c r="AB32" s="735">
        <f t="shared" si="9"/>
        <v>2750000</v>
      </c>
      <c r="AC32" s="734"/>
      <c r="AD32" s="426">
        <v>2023</v>
      </c>
      <c r="AE32" s="426">
        <v>2023</v>
      </c>
      <c r="AF32" s="92"/>
      <c r="AG32" s="92"/>
    </row>
    <row r="33" spans="1:33" s="76" customFormat="1" ht="24" customHeight="1">
      <c r="A33" s="18">
        <f t="shared" si="7"/>
        <v>19</v>
      </c>
      <c r="B33" s="512" t="s">
        <v>1001</v>
      </c>
      <c r="C33" s="563">
        <f t="shared" si="8"/>
        <v>2750000</v>
      </c>
      <c r="D33" s="733"/>
      <c r="E33" s="734">
        <v>1</v>
      </c>
      <c r="F33" s="735">
        <v>1612809</v>
      </c>
      <c r="G33" s="736"/>
      <c r="H33" s="734"/>
      <c r="I33" s="734"/>
      <c r="J33" s="734">
        <v>1</v>
      </c>
      <c r="K33" s="735">
        <f t="shared" si="10"/>
        <v>1087191</v>
      </c>
      <c r="L33" s="737"/>
      <c r="M33" s="737"/>
      <c r="N33" s="737"/>
      <c r="O33" s="737"/>
      <c r="P33" s="563"/>
      <c r="Q33" s="733"/>
      <c r="R33" s="733"/>
      <c r="S33" s="733"/>
      <c r="T33" s="733"/>
      <c r="U33" s="733"/>
      <c r="V33" s="563">
        <v>50000</v>
      </c>
      <c r="W33" s="563"/>
      <c r="X33" s="733"/>
      <c r="Y33" s="733"/>
      <c r="Z33" s="735"/>
      <c r="AA33" s="733"/>
      <c r="AB33" s="735">
        <f t="shared" si="9"/>
        <v>2750000</v>
      </c>
      <c r="AC33" s="734"/>
      <c r="AD33" s="426">
        <v>2023</v>
      </c>
      <c r="AE33" s="426">
        <v>2023</v>
      </c>
      <c r="AF33" s="92"/>
      <c r="AG33" s="92"/>
    </row>
    <row r="34" spans="1:33" s="76" customFormat="1" ht="24" customHeight="1">
      <c r="A34" s="18">
        <f t="shared" si="7"/>
        <v>20</v>
      </c>
      <c r="B34" s="512" t="s">
        <v>1002</v>
      </c>
      <c r="C34" s="563">
        <f t="shared" si="8"/>
        <v>2750000</v>
      </c>
      <c r="D34" s="733"/>
      <c r="E34" s="734">
        <v>1</v>
      </c>
      <c r="F34" s="735">
        <v>1612809</v>
      </c>
      <c r="G34" s="736"/>
      <c r="H34" s="734"/>
      <c r="I34" s="734"/>
      <c r="J34" s="734">
        <v>1</v>
      </c>
      <c r="K34" s="735">
        <f>2700000-1612809</f>
        <v>1087191</v>
      </c>
      <c r="L34" s="737"/>
      <c r="M34" s="737"/>
      <c r="N34" s="737"/>
      <c r="O34" s="737"/>
      <c r="P34" s="563"/>
      <c r="Q34" s="733"/>
      <c r="R34" s="733"/>
      <c r="S34" s="733"/>
      <c r="T34" s="733"/>
      <c r="U34" s="733"/>
      <c r="V34" s="563">
        <v>50000</v>
      </c>
      <c r="W34" s="563"/>
      <c r="X34" s="733"/>
      <c r="Y34" s="733"/>
      <c r="Z34" s="735"/>
      <c r="AA34" s="733"/>
      <c r="AB34" s="735">
        <f t="shared" si="9"/>
        <v>2750000</v>
      </c>
      <c r="AC34" s="734"/>
      <c r="AD34" s="426">
        <v>2023</v>
      </c>
      <c r="AE34" s="426">
        <v>2023</v>
      </c>
      <c r="AF34" s="92"/>
      <c r="AG34" s="92"/>
    </row>
    <row r="35" spans="1:33" s="76" customFormat="1" ht="24" customHeight="1">
      <c r="A35" s="426">
        <f t="shared" si="7"/>
        <v>21</v>
      </c>
      <c r="B35" s="512" t="s">
        <v>1003</v>
      </c>
      <c r="C35" s="563">
        <f t="shared" si="8"/>
        <v>3500000</v>
      </c>
      <c r="D35" s="733"/>
      <c r="E35" s="734">
        <v>1</v>
      </c>
      <c r="F35" s="735">
        <v>1612809</v>
      </c>
      <c r="G35" s="736"/>
      <c r="H35" s="734"/>
      <c r="I35" s="734"/>
      <c r="J35" s="734">
        <v>2</v>
      </c>
      <c r="K35" s="735">
        <f>3450000-1612809</f>
        <v>1837191</v>
      </c>
      <c r="L35" s="737"/>
      <c r="M35" s="737"/>
      <c r="N35" s="737"/>
      <c r="O35" s="737"/>
      <c r="P35" s="563"/>
      <c r="Q35" s="733"/>
      <c r="R35" s="733"/>
      <c r="S35" s="733"/>
      <c r="T35" s="733"/>
      <c r="U35" s="733"/>
      <c r="V35" s="563">
        <v>50000</v>
      </c>
      <c r="W35" s="563"/>
      <c r="X35" s="733"/>
      <c r="Y35" s="733"/>
      <c r="Z35" s="735"/>
      <c r="AA35" s="733"/>
      <c r="AB35" s="735">
        <f t="shared" si="9"/>
        <v>3500000</v>
      </c>
      <c r="AC35" s="734"/>
      <c r="AD35" s="426">
        <v>2023</v>
      </c>
      <c r="AE35" s="426">
        <v>2023</v>
      </c>
      <c r="AF35" s="92"/>
      <c r="AG35" s="92"/>
    </row>
    <row r="36" spans="1:33" s="76" customFormat="1" ht="24" customHeight="1">
      <c r="A36" s="426">
        <f t="shared" si="7"/>
        <v>22</v>
      </c>
      <c r="B36" s="512" t="s">
        <v>1004</v>
      </c>
      <c r="C36" s="563">
        <f t="shared" si="8"/>
        <v>2750000</v>
      </c>
      <c r="D36" s="733"/>
      <c r="E36" s="734">
        <v>1</v>
      </c>
      <c r="F36" s="735">
        <v>1612809</v>
      </c>
      <c r="G36" s="736"/>
      <c r="H36" s="734"/>
      <c r="I36" s="734"/>
      <c r="J36" s="734">
        <v>1</v>
      </c>
      <c r="K36" s="735">
        <f>2700000-1612809</f>
        <v>1087191</v>
      </c>
      <c r="L36" s="737"/>
      <c r="M36" s="737"/>
      <c r="N36" s="737"/>
      <c r="O36" s="737"/>
      <c r="P36" s="563"/>
      <c r="Q36" s="733"/>
      <c r="R36" s="733"/>
      <c r="S36" s="733"/>
      <c r="T36" s="733"/>
      <c r="U36" s="733"/>
      <c r="V36" s="563">
        <v>50000</v>
      </c>
      <c r="W36" s="563"/>
      <c r="X36" s="733"/>
      <c r="Y36" s="733"/>
      <c r="Z36" s="735"/>
      <c r="AA36" s="733"/>
      <c r="AB36" s="735">
        <f t="shared" si="9"/>
        <v>2750000</v>
      </c>
      <c r="AC36" s="734"/>
      <c r="AD36" s="426">
        <v>2023</v>
      </c>
      <c r="AE36" s="426">
        <v>2023</v>
      </c>
      <c r="AF36" s="92"/>
      <c r="AG36" s="92"/>
    </row>
    <row r="37" spans="1:33" s="76" customFormat="1" ht="24" customHeight="1">
      <c r="A37" s="883" t="s">
        <v>42</v>
      </c>
      <c r="B37" s="883"/>
      <c r="C37" s="16">
        <f>SUM(C27:C36)</f>
        <v>134691237.11000001</v>
      </c>
      <c r="D37" s="16">
        <f t="shared" ref="D37:AC37" si="11">SUM(D27:D36)</f>
        <v>2789849.4</v>
      </c>
      <c r="E37" s="845">
        <f t="shared" si="11"/>
        <v>8</v>
      </c>
      <c r="F37" s="16">
        <f t="shared" si="11"/>
        <v>12148344</v>
      </c>
      <c r="G37" s="16">
        <f t="shared" si="11"/>
        <v>2623441.33</v>
      </c>
      <c r="H37" s="16">
        <f t="shared" si="11"/>
        <v>2812710.43</v>
      </c>
      <c r="I37" s="16">
        <f t="shared" si="11"/>
        <v>13529550.460000001</v>
      </c>
      <c r="J37" s="845">
        <f t="shared" si="11"/>
        <v>10</v>
      </c>
      <c r="K37" s="16">
        <f t="shared" si="11"/>
        <v>11052807.24</v>
      </c>
      <c r="L37" s="16">
        <f t="shared" si="11"/>
        <v>0</v>
      </c>
      <c r="M37" s="16">
        <f t="shared" si="11"/>
        <v>0</v>
      </c>
      <c r="N37" s="16">
        <f t="shared" si="11"/>
        <v>0</v>
      </c>
      <c r="O37" s="16">
        <f t="shared" si="11"/>
        <v>0</v>
      </c>
      <c r="P37" s="16">
        <f t="shared" si="11"/>
        <v>39445916.469999999</v>
      </c>
      <c r="Q37" s="16">
        <f t="shared" si="11"/>
        <v>2986344.45</v>
      </c>
      <c r="R37" s="16">
        <f t="shared" si="11"/>
        <v>37794347.369999997</v>
      </c>
      <c r="S37" s="16">
        <f t="shared" si="11"/>
        <v>4797902.04</v>
      </c>
      <c r="T37" s="16">
        <f t="shared" si="11"/>
        <v>0</v>
      </c>
      <c r="U37" s="16">
        <f t="shared" si="11"/>
        <v>0</v>
      </c>
      <c r="V37" s="16">
        <f t="shared" si="11"/>
        <v>3027662.76</v>
      </c>
      <c r="W37" s="16">
        <f t="shared" si="11"/>
        <v>1682361.16</v>
      </c>
      <c r="X37" s="16">
        <f t="shared" si="11"/>
        <v>0</v>
      </c>
      <c r="Y37" s="16">
        <f t="shared" si="11"/>
        <v>0</v>
      </c>
      <c r="Z37" s="16">
        <f t="shared" si="11"/>
        <v>12028579.49</v>
      </c>
      <c r="AA37" s="16">
        <f t="shared" si="11"/>
        <v>0</v>
      </c>
      <c r="AB37" s="16">
        <f t="shared" si="11"/>
        <v>122662657.62</v>
      </c>
      <c r="AC37" s="16">
        <f t="shared" si="11"/>
        <v>0</v>
      </c>
      <c r="AD37" s="798" t="s">
        <v>29</v>
      </c>
      <c r="AE37" s="798" t="s">
        <v>29</v>
      </c>
      <c r="AF37" s="75"/>
      <c r="AG37" s="92"/>
    </row>
    <row r="38" spans="1:33" ht="24" customHeight="1">
      <c r="A38" s="888" t="s">
        <v>357</v>
      </c>
      <c r="B38" s="888"/>
      <c r="C38" s="888"/>
      <c r="D38" s="888"/>
      <c r="E38" s="888"/>
      <c r="F38" s="888"/>
      <c r="G38" s="888"/>
      <c r="H38" s="888"/>
      <c r="I38" s="888"/>
      <c r="J38" s="888"/>
      <c r="K38" s="888"/>
      <c r="L38" s="888"/>
      <c r="M38" s="888"/>
      <c r="N38" s="888"/>
      <c r="O38" s="888"/>
      <c r="P38" s="888"/>
      <c r="Q38" s="888"/>
      <c r="R38" s="888"/>
      <c r="S38" s="888"/>
      <c r="T38" s="889"/>
      <c r="U38" s="889"/>
      <c r="V38" s="888"/>
      <c r="W38" s="888"/>
      <c r="X38" s="888"/>
      <c r="Y38" s="888"/>
      <c r="Z38" s="888"/>
      <c r="AA38" s="888"/>
      <c r="AB38" s="888"/>
      <c r="AC38" s="888"/>
      <c r="AD38" s="888"/>
      <c r="AE38" s="888"/>
      <c r="AF38" s="808"/>
      <c r="AG38" s="806"/>
    </row>
    <row r="39" spans="1:33" s="76" customFormat="1" ht="24" customHeight="1">
      <c r="A39" s="18">
        <f>A36+1</f>
        <v>23</v>
      </c>
      <c r="B39" s="20" t="s">
        <v>50</v>
      </c>
      <c r="C39" s="725">
        <f>D39+F39+G39+H39+I39+K39+L39+M39+O39+P39+Q39+R39+S39+W39+V39+X39</f>
        <v>12022060.939999999</v>
      </c>
      <c r="D39" s="725">
        <f>ROUND(1275.2*589.88,2)</f>
        <v>752214.98</v>
      </c>
      <c r="E39" s="738"/>
      <c r="F39" s="725"/>
      <c r="G39" s="727">
        <f>ROUND(1275.2*596.38,2)</f>
        <v>760503.78</v>
      </c>
      <c r="H39" s="201"/>
      <c r="I39" s="201">
        <f>ROUND(1275.2*4857.9,2)</f>
        <v>6194794.0800000001</v>
      </c>
      <c r="J39" s="87">
        <v>1</v>
      </c>
      <c r="K39" s="725">
        <v>2501151.2400000002</v>
      </c>
      <c r="L39" s="727">
        <f>ROUND(1275.2*690.32,2)</f>
        <v>880296.06</v>
      </c>
      <c r="M39" s="204"/>
      <c r="N39" s="204"/>
      <c r="O39" s="204"/>
      <c r="P39" s="726"/>
      <c r="Q39" s="725"/>
      <c r="R39" s="726"/>
      <c r="S39" s="201"/>
      <c r="T39" s="732"/>
      <c r="U39" s="732"/>
      <c r="V39" s="3">
        <v>766766.4</v>
      </c>
      <c r="W39" s="86">
        <f>ROUND((D39+F39+G39+H39+I39+K39+Q39+S39+L39)*1.5%,2)</f>
        <v>166334.39999999999</v>
      </c>
      <c r="X39" s="726"/>
      <c r="Y39" s="726"/>
      <c r="Z39" s="726"/>
      <c r="AA39" s="726"/>
      <c r="AB39" s="86">
        <f>C39</f>
        <v>12022060.939999999</v>
      </c>
      <c r="AC39" s="87"/>
      <c r="AD39" s="18">
        <v>2023</v>
      </c>
      <c r="AE39" s="18">
        <v>2023</v>
      </c>
      <c r="AF39" s="75"/>
      <c r="AG39" s="92"/>
    </row>
    <row r="40" spans="1:33" s="76" customFormat="1" ht="24" customHeight="1">
      <c r="A40" s="18">
        <f>A39+1</f>
        <v>24</v>
      </c>
      <c r="B40" s="20" t="s">
        <v>882</v>
      </c>
      <c r="C40" s="725">
        <f t="shared" ref="C40:C43" si="12">D40+F40+G40+H40+I40+K40+L40+M40+O40+P40+Q40+R40+S40+W40+V40+X40</f>
        <v>12024419.09</v>
      </c>
      <c r="D40" s="725">
        <f>ROUND(1275.7*589.88,2)</f>
        <v>752509.92</v>
      </c>
      <c r="E40" s="726"/>
      <c r="F40" s="87"/>
      <c r="G40" s="727">
        <f>ROUND(1275.7*596.38,2)</f>
        <v>760801.97</v>
      </c>
      <c r="H40" s="87"/>
      <c r="I40" s="201">
        <f>ROUND(1275.7*4857.9,2)</f>
        <v>6197223.0300000003</v>
      </c>
      <c r="J40" s="87">
        <v>1</v>
      </c>
      <c r="K40" s="725">
        <v>2501151.2400000002</v>
      </c>
      <c r="L40" s="727">
        <f>ROUND(1275.7*690.32,2)</f>
        <v>880641.22</v>
      </c>
      <c r="M40" s="204"/>
      <c r="N40" s="204"/>
      <c r="O40" s="204"/>
      <c r="P40" s="726"/>
      <c r="Q40" s="726"/>
      <c r="R40" s="726"/>
      <c r="S40" s="726"/>
      <c r="T40" s="730"/>
      <c r="U40" s="730"/>
      <c r="V40" s="3">
        <v>765706.8</v>
      </c>
      <c r="W40" s="86">
        <f t="shared" ref="W40:W42" si="13">ROUND((D40+F40+G40+H40+I40+K40+Q40+S40+L40)*1.5%,2)</f>
        <v>166384.91</v>
      </c>
      <c r="X40" s="726"/>
      <c r="Y40" s="726"/>
      <c r="Z40" s="726"/>
      <c r="AA40" s="726"/>
      <c r="AB40" s="86">
        <f t="shared" ref="AB40:AB43" si="14">C40</f>
        <v>12024419.09</v>
      </c>
      <c r="AC40" s="87"/>
      <c r="AD40" s="18">
        <v>2023</v>
      </c>
      <c r="AE40" s="18">
        <v>2023</v>
      </c>
      <c r="AF40" s="75"/>
      <c r="AG40" s="92"/>
    </row>
    <row r="41" spans="1:33" s="76" customFormat="1" ht="24" customHeight="1">
      <c r="A41" s="18">
        <f t="shared" ref="A41:A43" si="15">A40+1</f>
        <v>25</v>
      </c>
      <c r="B41" s="20" t="s">
        <v>51</v>
      </c>
      <c r="C41" s="725">
        <f t="shared" si="12"/>
        <v>6454829.9900000002</v>
      </c>
      <c r="D41" s="725"/>
      <c r="E41" s="726"/>
      <c r="F41" s="87"/>
      <c r="G41" s="727"/>
      <c r="H41" s="201"/>
      <c r="I41" s="201">
        <f>ROUND(1260.1*4857.9,2)</f>
        <v>6121439.79</v>
      </c>
      <c r="J41" s="87"/>
      <c r="K41" s="725"/>
      <c r="L41" s="727"/>
      <c r="M41" s="204"/>
      <c r="N41" s="204"/>
      <c r="O41" s="204"/>
      <c r="P41" s="726"/>
      <c r="Q41" s="726"/>
      <c r="R41" s="726"/>
      <c r="S41" s="726"/>
      <c r="T41" s="730"/>
      <c r="U41" s="730"/>
      <c r="V41" s="3">
        <v>241568.6</v>
      </c>
      <c r="W41" s="86">
        <f t="shared" si="13"/>
        <v>91821.6</v>
      </c>
      <c r="X41" s="726"/>
      <c r="Y41" s="726"/>
      <c r="Z41" s="726"/>
      <c r="AA41" s="726"/>
      <c r="AB41" s="86">
        <f t="shared" si="14"/>
        <v>6454829.9900000002</v>
      </c>
      <c r="AC41" s="87"/>
      <c r="AD41" s="18">
        <v>2023</v>
      </c>
      <c r="AE41" s="18">
        <v>2023</v>
      </c>
      <c r="AF41" s="75"/>
      <c r="AG41" s="92"/>
    </row>
    <row r="42" spans="1:33" s="76" customFormat="1" ht="24" customHeight="1">
      <c r="A42" s="18">
        <f t="shared" si="15"/>
        <v>26</v>
      </c>
      <c r="B42" s="20" t="s">
        <v>48</v>
      </c>
      <c r="C42" s="725">
        <f t="shared" si="12"/>
        <v>2575776.27</v>
      </c>
      <c r="D42" s="725">
        <f>ROUND(1248.1*589.88,2)</f>
        <v>736229.23</v>
      </c>
      <c r="E42" s="726"/>
      <c r="F42" s="87"/>
      <c r="G42" s="727"/>
      <c r="H42" s="201">
        <f>ROUND(1248.1*1074.75,2)-0.01</f>
        <v>1341395.47</v>
      </c>
      <c r="I42" s="201"/>
      <c r="J42" s="87"/>
      <c r="K42" s="725"/>
      <c r="L42" s="727"/>
      <c r="M42" s="204"/>
      <c r="N42" s="204"/>
      <c r="O42" s="204"/>
      <c r="P42" s="726"/>
      <c r="Q42" s="726"/>
      <c r="R42" s="726"/>
      <c r="S42" s="726"/>
      <c r="T42" s="730"/>
      <c r="U42" s="730"/>
      <c r="V42" s="3">
        <v>466987.2</v>
      </c>
      <c r="W42" s="86">
        <f t="shared" si="13"/>
        <v>31164.37</v>
      </c>
      <c r="X42" s="726"/>
      <c r="Y42" s="726"/>
      <c r="Z42" s="726"/>
      <c r="AA42" s="726"/>
      <c r="AB42" s="86">
        <f t="shared" si="14"/>
        <v>2575776.27</v>
      </c>
      <c r="AC42" s="87"/>
      <c r="AD42" s="18">
        <v>2023</v>
      </c>
      <c r="AE42" s="18">
        <v>2023</v>
      </c>
      <c r="AF42" s="75"/>
      <c r="AG42" s="92"/>
    </row>
    <row r="43" spans="1:33" s="76" customFormat="1" ht="24" customHeight="1">
      <c r="A43" s="18">
        <f t="shared" si="15"/>
        <v>27</v>
      </c>
      <c r="B43" s="20" t="s">
        <v>49</v>
      </c>
      <c r="C43" s="725">
        <f t="shared" si="12"/>
        <v>12588514.83</v>
      </c>
      <c r="D43" s="726"/>
      <c r="E43" s="726"/>
      <c r="F43" s="87"/>
      <c r="G43" s="727"/>
      <c r="H43" s="87"/>
      <c r="I43" s="201">
        <f>ROUND(1238*4857.9,2)</f>
        <v>6014080.2000000002</v>
      </c>
      <c r="J43" s="87">
        <v>1</v>
      </c>
      <c r="K43" s="725">
        <v>2501151.2400000002</v>
      </c>
      <c r="L43" s="727">
        <f>ROUND(1238*690.32,2)</f>
        <v>854616.16</v>
      </c>
      <c r="M43" s="727"/>
      <c r="N43" s="727"/>
      <c r="O43" s="727"/>
      <c r="P43" s="727"/>
      <c r="Q43" s="727">
        <f>ROUND(1238*1954.25,2)</f>
        <v>2419361.5</v>
      </c>
      <c r="R43" s="726"/>
      <c r="S43" s="726"/>
      <c r="T43" s="730"/>
      <c r="U43" s="730"/>
      <c r="V43" s="3">
        <v>622467.6</v>
      </c>
      <c r="W43" s="86">
        <v>176838.13</v>
      </c>
      <c r="X43" s="726"/>
      <c r="Y43" s="726"/>
      <c r="Z43" s="726"/>
      <c r="AA43" s="726"/>
      <c r="AB43" s="86">
        <f t="shared" si="14"/>
        <v>12588514.83</v>
      </c>
      <c r="AC43" s="87"/>
      <c r="AD43" s="18">
        <v>2023</v>
      </c>
      <c r="AE43" s="18">
        <v>2023</v>
      </c>
      <c r="AF43" s="75"/>
      <c r="AG43" s="92"/>
    </row>
    <row r="44" spans="1:33" s="95" customFormat="1" ht="24" customHeight="1">
      <c r="A44" s="883" t="s">
        <v>42</v>
      </c>
      <c r="B44" s="883"/>
      <c r="C44" s="16">
        <f>SUM(C39:C43)</f>
        <v>45665601.119999997</v>
      </c>
      <c r="D44" s="16">
        <f t="shared" ref="D44:AB44" si="16">SUM(D39:D43)</f>
        <v>2240954.13</v>
      </c>
      <c r="E44" s="16">
        <f t="shared" si="16"/>
        <v>0</v>
      </c>
      <c r="F44" s="16">
        <f t="shared" si="16"/>
        <v>0</v>
      </c>
      <c r="G44" s="6">
        <f t="shared" si="16"/>
        <v>1521305.75</v>
      </c>
      <c r="H44" s="16">
        <f t="shared" si="16"/>
        <v>1341395.47</v>
      </c>
      <c r="I44" s="16">
        <f t="shared" si="16"/>
        <v>24527537.100000001</v>
      </c>
      <c r="J44" s="845">
        <f t="shared" si="16"/>
        <v>3</v>
      </c>
      <c r="K44" s="16">
        <f t="shared" si="16"/>
        <v>7503453.7199999997</v>
      </c>
      <c r="L44" s="16">
        <f t="shared" si="16"/>
        <v>2615553.44</v>
      </c>
      <c r="M44" s="16">
        <f t="shared" si="16"/>
        <v>0</v>
      </c>
      <c r="N44" s="16">
        <f t="shared" si="16"/>
        <v>0</v>
      </c>
      <c r="O44" s="16">
        <f t="shared" si="16"/>
        <v>0</v>
      </c>
      <c r="P44" s="16">
        <f t="shared" si="16"/>
        <v>0</v>
      </c>
      <c r="Q44" s="16">
        <f t="shared" si="16"/>
        <v>2419361.5</v>
      </c>
      <c r="R44" s="16">
        <f t="shared" si="16"/>
        <v>0</v>
      </c>
      <c r="S44" s="16">
        <f t="shared" si="16"/>
        <v>0</v>
      </c>
      <c r="T44" s="141"/>
      <c r="U44" s="141"/>
      <c r="V44" s="16">
        <f t="shared" si="16"/>
        <v>2863496.6</v>
      </c>
      <c r="W44" s="16">
        <f t="shared" si="16"/>
        <v>632543.41</v>
      </c>
      <c r="X44" s="16">
        <f t="shared" si="16"/>
        <v>0</v>
      </c>
      <c r="Y44" s="16">
        <f t="shared" si="16"/>
        <v>0</v>
      </c>
      <c r="Z44" s="16">
        <f t="shared" si="16"/>
        <v>0</v>
      </c>
      <c r="AA44" s="16">
        <f t="shared" si="16"/>
        <v>0</v>
      </c>
      <c r="AB44" s="16">
        <f t="shared" si="16"/>
        <v>45665601.119999997</v>
      </c>
      <c r="AC44" s="798"/>
      <c r="AD44" s="798" t="s">
        <v>29</v>
      </c>
      <c r="AE44" s="798" t="s">
        <v>29</v>
      </c>
      <c r="AF44" s="94"/>
      <c r="AG44" s="145"/>
    </row>
    <row r="45" spans="1:33" ht="24" customHeight="1">
      <c r="A45" s="888" t="s">
        <v>358</v>
      </c>
      <c r="B45" s="888"/>
      <c r="C45" s="888"/>
      <c r="D45" s="888"/>
      <c r="E45" s="888"/>
      <c r="F45" s="888"/>
      <c r="G45" s="888"/>
      <c r="H45" s="888"/>
      <c r="I45" s="888"/>
      <c r="J45" s="888"/>
      <c r="K45" s="888"/>
      <c r="L45" s="888"/>
      <c r="M45" s="888"/>
      <c r="N45" s="888"/>
      <c r="O45" s="888"/>
      <c r="P45" s="888"/>
      <c r="Q45" s="888"/>
      <c r="R45" s="888"/>
      <c r="S45" s="888"/>
      <c r="T45" s="889"/>
      <c r="U45" s="889"/>
      <c r="V45" s="888"/>
      <c r="W45" s="888"/>
      <c r="X45" s="888"/>
      <c r="Y45" s="888"/>
      <c r="Z45" s="888"/>
      <c r="AA45" s="888"/>
      <c r="AB45" s="888"/>
      <c r="AC45" s="888"/>
      <c r="AD45" s="888"/>
      <c r="AE45" s="888"/>
      <c r="AF45" s="808"/>
      <c r="AG45" s="806"/>
    </row>
    <row r="46" spans="1:33" s="26" customFormat="1" ht="24" customHeight="1">
      <c r="A46" s="18">
        <f>A43+1</f>
        <v>28</v>
      </c>
      <c r="B46" s="20" t="s">
        <v>52</v>
      </c>
      <c r="C46" s="725">
        <f>D46+F46+G46+H46+I46+K46+L46+M46+O46+P46+Q46+R46+S46+W46+V46+X46</f>
        <v>25981045.670000002</v>
      </c>
      <c r="D46" s="725">
        <v>1407945.53</v>
      </c>
      <c r="E46" s="725"/>
      <c r="F46" s="725"/>
      <c r="G46" s="727">
        <v>1389990.61</v>
      </c>
      <c r="H46" s="201">
        <v>1304669.01</v>
      </c>
      <c r="I46" s="201">
        <v>8629539.6099999994</v>
      </c>
      <c r="J46" s="87">
        <v>1</v>
      </c>
      <c r="K46" s="725">
        <v>2329140.37</v>
      </c>
      <c r="L46" s="727"/>
      <c r="M46" s="204"/>
      <c r="N46" s="204"/>
      <c r="O46" s="204"/>
      <c r="P46" s="725">
        <v>10917730.25</v>
      </c>
      <c r="Q46" s="725"/>
      <c r="R46" s="87"/>
      <c r="S46" s="201"/>
      <c r="T46" s="732"/>
      <c r="U46" s="732"/>
      <c r="V46" s="3"/>
      <c r="W46" s="86">
        <v>2030.29</v>
      </c>
      <c r="X46" s="87"/>
      <c r="Y46" s="87"/>
      <c r="Z46" s="87"/>
      <c r="AA46" s="725">
        <v>1500000</v>
      </c>
      <c r="AB46" s="86">
        <f>C46-AA46</f>
        <v>24481045.670000002</v>
      </c>
      <c r="AC46" s="87"/>
      <c r="AD46" s="18">
        <v>2023</v>
      </c>
      <c r="AE46" s="18">
        <v>2023</v>
      </c>
      <c r="AF46" s="25"/>
      <c r="AG46" s="91"/>
    </row>
    <row r="47" spans="1:33" s="26" customFormat="1" ht="24" customHeight="1">
      <c r="A47" s="18">
        <f>A46+1</f>
        <v>29</v>
      </c>
      <c r="B47" s="20" t="s">
        <v>53</v>
      </c>
      <c r="C47" s="725">
        <f t="shared" ref="C47:C54" si="17">D47+F47+G47+H47+I47+K47+L47+M47+O47+P47+Q47+R47+S47+W47+V47+X47</f>
        <v>7644536.8700000001</v>
      </c>
      <c r="D47" s="725"/>
      <c r="E47" s="87"/>
      <c r="F47" s="87"/>
      <c r="G47" s="727"/>
      <c r="H47" s="87"/>
      <c r="I47" s="201">
        <v>2350451.63</v>
      </c>
      <c r="J47" s="87">
        <v>1</v>
      </c>
      <c r="K47" s="725">
        <v>2464188.41</v>
      </c>
      <c r="L47" s="727">
        <v>1861805.81</v>
      </c>
      <c r="M47" s="204"/>
      <c r="N47" s="204"/>
      <c r="O47" s="204"/>
      <c r="P47" s="87"/>
      <c r="Q47" s="87"/>
      <c r="R47" s="87"/>
      <c r="S47" s="87"/>
      <c r="T47" s="124"/>
      <c r="U47" s="124"/>
      <c r="V47" s="3">
        <v>867944.33</v>
      </c>
      <c r="W47" s="86">
        <f t="shared" ref="W47" si="18">ROUND((D47+F47+G47+H47+I47+K47+Q47+S47+L47)*1.5%,2)</f>
        <v>100146.69</v>
      </c>
      <c r="X47" s="87"/>
      <c r="Y47" s="87"/>
      <c r="Z47" s="87"/>
      <c r="AA47" s="87"/>
      <c r="AB47" s="86">
        <f t="shared" ref="AB47:AB54" si="19">C47</f>
        <v>7644536.8700000001</v>
      </c>
      <c r="AC47" s="87"/>
      <c r="AD47" s="18">
        <v>2023</v>
      </c>
      <c r="AE47" s="18">
        <v>2023</v>
      </c>
      <c r="AF47" s="25"/>
      <c r="AG47" s="91"/>
    </row>
    <row r="48" spans="1:33" s="26" customFormat="1" ht="24" customHeight="1">
      <c r="A48" s="18">
        <f t="shared" ref="A48:A54" si="20">A47+1</f>
        <v>30</v>
      </c>
      <c r="B48" s="20" t="s">
        <v>54</v>
      </c>
      <c r="C48" s="725">
        <f t="shared" si="17"/>
        <v>13323807.24</v>
      </c>
      <c r="D48" s="725"/>
      <c r="E48" s="87"/>
      <c r="F48" s="87"/>
      <c r="G48" s="727"/>
      <c r="H48" s="201"/>
      <c r="I48" s="201"/>
      <c r="J48" s="87"/>
      <c r="K48" s="725"/>
      <c r="L48" s="727"/>
      <c r="M48" s="204"/>
      <c r="N48" s="204"/>
      <c r="O48" s="204"/>
      <c r="P48" s="87"/>
      <c r="Q48" s="725">
        <v>2125340.73</v>
      </c>
      <c r="R48" s="725">
        <v>6857832.8099999996</v>
      </c>
      <c r="S48" s="725">
        <v>3011959.03</v>
      </c>
      <c r="T48" s="739"/>
      <c r="U48" s="739"/>
      <c r="V48" s="3">
        <v>1198227.6000000001</v>
      </c>
      <c r="W48" s="86">
        <v>130447.07</v>
      </c>
      <c r="X48" s="87"/>
      <c r="Y48" s="87"/>
      <c r="Z48" s="87"/>
      <c r="AA48" s="87"/>
      <c r="AB48" s="86">
        <f t="shared" si="19"/>
        <v>13323807.24</v>
      </c>
      <c r="AC48" s="87"/>
      <c r="AD48" s="18">
        <v>2023</v>
      </c>
      <c r="AE48" s="18">
        <v>2023</v>
      </c>
      <c r="AF48" s="25"/>
      <c r="AG48" s="91"/>
    </row>
    <row r="49" spans="1:33" s="26" customFormat="1" ht="24" customHeight="1">
      <c r="A49" s="18">
        <f t="shared" si="20"/>
        <v>31</v>
      </c>
      <c r="B49" s="20" t="s">
        <v>387</v>
      </c>
      <c r="C49" s="725">
        <f t="shared" si="17"/>
        <v>53434153.670000002</v>
      </c>
      <c r="D49" s="725">
        <v>5210075.4000000004</v>
      </c>
      <c r="E49" s="87"/>
      <c r="F49" s="87"/>
      <c r="G49" s="727">
        <v>7179819.2699999996</v>
      </c>
      <c r="H49" s="201">
        <v>6518066.46</v>
      </c>
      <c r="I49" s="201">
        <v>28254146.489999998</v>
      </c>
      <c r="J49" s="87">
        <v>1</v>
      </c>
      <c r="K49" s="725">
        <v>2464188.41</v>
      </c>
      <c r="L49" s="727"/>
      <c r="M49" s="204"/>
      <c r="N49" s="204"/>
      <c r="O49" s="204"/>
      <c r="P49" s="204"/>
      <c r="Q49" s="727"/>
      <c r="R49" s="725"/>
      <c r="S49" s="725"/>
      <c r="T49" s="739"/>
      <c r="U49" s="739"/>
      <c r="V49" s="3">
        <f>1841331.6+1222131.6</f>
        <v>3063463.2</v>
      </c>
      <c r="W49" s="86">
        <v>744394.44</v>
      </c>
      <c r="X49" s="87"/>
      <c r="Y49" s="87"/>
      <c r="Z49" s="87"/>
      <c r="AA49" s="87"/>
      <c r="AB49" s="86">
        <f t="shared" si="19"/>
        <v>53434153.670000002</v>
      </c>
      <c r="AC49" s="87"/>
      <c r="AD49" s="18">
        <v>2023</v>
      </c>
      <c r="AE49" s="18">
        <v>2024</v>
      </c>
      <c r="AF49" s="25"/>
      <c r="AG49" s="91"/>
    </row>
    <row r="50" spans="1:33" s="26" customFormat="1" ht="24" customHeight="1">
      <c r="A50" s="18">
        <f t="shared" si="20"/>
        <v>32</v>
      </c>
      <c r="B50" s="20" t="s">
        <v>55</v>
      </c>
      <c r="C50" s="725">
        <f t="shared" si="17"/>
        <v>10515726.99</v>
      </c>
      <c r="D50" s="87"/>
      <c r="E50" s="87"/>
      <c r="F50" s="87"/>
      <c r="G50" s="727"/>
      <c r="H50" s="87"/>
      <c r="I50" s="201"/>
      <c r="J50" s="87"/>
      <c r="K50" s="725"/>
      <c r="L50" s="727"/>
      <c r="M50" s="727"/>
      <c r="N50" s="727"/>
      <c r="O50" s="727"/>
      <c r="P50" s="727">
        <v>9975387.6400000006</v>
      </c>
      <c r="Q50" s="727"/>
      <c r="R50" s="87"/>
      <c r="S50" s="87"/>
      <c r="T50" s="124"/>
      <c r="U50" s="124"/>
      <c r="V50" s="3">
        <v>524612.36</v>
      </c>
      <c r="W50" s="86">
        <v>15726.99</v>
      </c>
      <c r="X50" s="87"/>
      <c r="Y50" s="87"/>
      <c r="Z50" s="87"/>
      <c r="AA50" s="87"/>
      <c r="AB50" s="86">
        <f t="shared" si="19"/>
        <v>10515726.99</v>
      </c>
      <c r="AC50" s="87"/>
      <c r="AD50" s="18">
        <v>2023</v>
      </c>
      <c r="AE50" s="18">
        <v>2023</v>
      </c>
      <c r="AF50" s="25"/>
      <c r="AG50" s="91"/>
    </row>
    <row r="51" spans="1:33" s="26" customFormat="1" ht="24" customHeight="1">
      <c r="A51" s="18">
        <f t="shared" si="20"/>
        <v>33</v>
      </c>
      <c r="B51" s="20" t="s">
        <v>458</v>
      </c>
      <c r="C51" s="725">
        <f t="shared" si="17"/>
        <v>50524683.909999996</v>
      </c>
      <c r="D51" s="87"/>
      <c r="E51" s="87"/>
      <c r="F51" s="87"/>
      <c r="G51" s="727"/>
      <c r="H51" s="87"/>
      <c r="I51" s="201"/>
      <c r="J51" s="87"/>
      <c r="K51" s="725"/>
      <c r="L51" s="727"/>
      <c r="M51" s="727"/>
      <c r="N51" s="727"/>
      <c r="O51" s="727"/>
      <c r="P51" s="727">
        <v>20107426.940000001</v>
      </c>
      <c r="Q51" s="727"/>
      <c r="R51" s="86">
        <v>27073311.489999998</v>
      </c>
      <c r="S51" s="87"/>
      <c r="T51" s="124"/>
      <c r="U51" s="124"/>
      <c r="V51" s="3">
        <v>2636234.4</v>
      </c>
      <c r="W51" s="86">
        <v>707711.08</v>
      </c>
      <c r="X51" s="87"/>
      <c r="Y51" s="87"/>
      <c r="Z51" s="87"/>
      <c r="AA51" s="87"/>
      <c r="AB51" s="86">
        <f t="shared" si="19"/>
        <v>50524683.909999996</v>
      </c>
      <c r="AC51" s="87"/>
      <c r="AD51" s="18">
        <v>2023</v>
      </c>
      <c r="AE51" s="18">
        <v>2024</v>
      </c>
      <c r="AF51" s="25"/>
      <c r="AG51" s="91"/>
    </row>
    <row r="52" spans="1:33" s="26" customFormat="1" ht="24" customHeight="1">
      <c r="A52" s="18">
        <f t="shared" si="20"/>
        <v>34</v>
      </c>
      <c r="B52" s="20" t="s">
        <v>1195</v>
      </c>
      <c r="C52" s="725">
        <f t="shared" si="17"/>
        <v>3614984</v>
      </c>
      <c r="D52" s="87"/>
      <c r="E52" s="87"/>
      <c r="F52" s="87"/>
      <c r="G52" s="727"/>
      <c r="H52" s="87"/>
      <c r="I52" s="201"/>
      <c r="J52" s="87"/>
      <c r="K52" s="725"/>
      <c r="L52" s="727"/>
      <c r="M52" s="727"/>
      <c r="N52" s="740">
        <v>1</v>
      </c>
      <c r="O52" s="727">
        <v>3486737.89</v>
      </c>
      <c r="P52" s="727"/>
      <c r="Q52" s="727"/>
      <c r="R52" s="86"/>
      <c r="S52" s="87"/>
      <c r="T52" s="124"/>
      <c r="U52" s="124"/>
      <c r="V52" s="3">
        <v>75945.039999999994</v>
      </c>
      <c r="W52" s="86">
        <v>52301.07</v>
      </c>
      <c r="X52" s="87"/>
      <c r="Y52" s="87"/>
      <c r="Z52" s="87"/>
      <c r="AA52" s="87"/>
      <c r="AB52" s="86">
        <f t="shared" si="19"/>
        <v>3614984</v>
      </c>
      <c r="AC52" s="87"/>
      <c r="AD52" s="18">
        <v>2023</v>
      </c>
      <c r="AE52" s="18">
        <v>2024</v>
      </c>
      <c r="AF52" s="25"/>
      <c r="AG52" s="91"/>
    </row>
    <row r="53" spans="1:33" s="26" customFormat="1" ht="24" customHeight="1">
      <c r="A53" s="18">
        <f t="shared" si="20"/>
        <v>35</v>
      </c>
      <c r="B53" s="20" t="s">
        <v>461</v>
      </c>
      <c r="C53" s="725">
        <f t="shared" si="17"/>
        <v>29453229.280000001</v>
      </c>
      <c r="D53" s="87"/>
      <c r="E53" s="87"/>
      <c r="F53" s="87"/>
      <c r="G53" s="727"/>
      <c r="H53" s="87"/>
      <c r="I53" s="201"/>
      <c r="J53" s="87"/>
      <c r="K53" s="725"/>
      <c r="L53" s="727"/>
      <c r="M53" s="727"/>
      <c r="N53" s="727"/>
      <c r="O53" s="727"/>
      <c r="P53" s="727">
        <v>27663001.460000001</v>
      </c>
      <c r="Q53" s="727"/>
      <c r="R53" s="86"/>
      <c r="S53" s="87"/>
      <c r="T53" s="124"/>
      <c r="U53" s="124"/>
      <c r="V53" s="3">
        <v>1375282.8</v>
      </c>
      <c r="W53" s="86">
        <v>414945.02</v>
      </c>
      <c r="X53" s="87"/>
      <c r="Y53" s="87"/>
      <c r="Z53" s="87"/>
      <c r="AA53" s="87"/>
      <c r="AB53" s="86">
        <f t="shared" si="19"/>
        <v>29453229.280000001</v>
      </c>
      <c r="AC53" s="87"/>
      <c r="AD53" s="18">
        <v>2023</v>
      </c>
      <c r="AE53" s="18">
        <v>2024</v>
      </c>
      <c r="AF53" s="25"/>
      <c r="AG53" s="91"/>
    </row>
    <row r="54" spans="1:33" s="26" customFormat="1" ht="24" customHeight="1">
      <c r="A54" s="18">
        <f t="shared" si="20"/>
        <v>36</v>
      </c>
      <c r="B54" s="20" t="s">
        <v>462</v>
      </c>
      <c r="C54" s="725">
        <f t="shared" si="17"/>
        <v>44926188.409999996</v>
      </c>
      <c r="D54" s="87"/>
      <c r="E54" s="87"/>
      <c r="F54" s="87"/>
      <c r="G54" s="727"/>
      <c r="H54" s="87"/>
      <c r="I54" s="201"/>
      <c r="J54" s="87"/>
      <c r="K54" s="725"/>
      <c r="L54" s="727"/>
      <c r="M54" s="727"/>
      <c r="N54" s="727"/>
      <c r="O54" s="727"/>
      <c r="P54" s="727">
        <v>26453619.039999999</v>
      </c>
      <c r="Q54" s="727"/>
      <c r="R54" s="86">
        <v>15305826.880000001</v>
      </c>
      <c r="S54" s="87"/>
      <c r="T54" s="124"/>
      <c r="U54" s="124"/>
      <c r="V54" s="3">
        <f>1187494.8+1352856</f>
        <v>2540350.7999999998</v>
      </c>
      <c r="W54" s="86">
        <v>626391.68999999994</v>
      </c>
      <c r="X54" s="87"/>
      <c r="Y54" s="87"/>
      <c r="Z54" s="87"/>
      <c r="AA54" s="87"/>
      <c r="AB54" s="86">
        <f t="shared" si="19"/>
        <v>44926188.409999996</v>
      </c>
      <c r="AC54" s="87"/>
      <c r="AD54" s="18">
        <v>2023</v>
      </c>
      <c r="AE54" s="18">
        <v>2024</v>
      </c>
      <c r="AF54" s="25"/>
      <c r="AG54" s="91"/>
    </row>
    <row r="55" spans="1:33" s="148" customFormat="1" ht="24" customHeight="1">
      <c r="A55" s="883" t="s">
        <v>42</v>
      </c>
      <c r="B55" s="883"/>
      <c r="C55" s="16">
        <f>SUM(C46:C54)</f>
        <v>239418356.03999999</v>
      </c>
      <c r="D55" s="16">
        <f t="shared" ref="D55:AC55" si="21">SUM(D46:D54)</f>
        <v>6618020.9299999997</v>
      </c>
      <c r="E55" s="16">
        <f t="shared" si="21"/>
        <v>0</v>
      </c>
      <c r="F55" s="16">
        <f t="shared" si="21"/>
        <v>0</v>
      </c>
      <c r="G55" s="16">
        <f t="shared" si="21"/>
        <v>8569809.8800000008</v>
      </c>
      <c r="H55" s="16">
        <f t="shared" si="21"/>
        <v>7822735.4699999997</v>
      </c>
      <c r="I55" s="16">
        <f t="shared" si="21"/>
        <v>39234137.729999997</v>
      </c>
      <c r="J55" s="845">
        <f t="shared" si="21"/>
        <v>3</v>
      </c>
      <c r="K55" s="16">
        <f t="shared" si="21"/>
        <v>7257517.1900000004</v>
      </c>
      <c r="L55" s="16">
        <f t="shared" si="21"/>
        <v>1861805.81</v>
      </c>
      <c r="M55" s="16">
        <f t="shared" si="21"/>
        <v>0</v>
      </c>
      <c r="N55" s="396">
        <f t="shared" si="21"/>
        <v>1</v>
      </c>
      <c r="O55" s="16">
        <f t="shared" si="21"/>
        <v>3486737.89</v>
      </c>
      <c r="P55" s="16">
        <f>SUM(P46:P54)</f>
        <v>95117165.329999998</v>
      </c>
      <c r="Q55" s="16">
        <f t="shared" si="21"/>
        <v>2125340.73</v>
      </c>
      <c r="R55" s="16">
        <f t="shared" si="21"/>
        <v>49236971.18</v>
      </c>
      <c r="S55" s="16">
        <f t="shared" si="21"/>
        <v>3011959.03</v>
      </c>
      <c r="T55" s="141"/>
      <c r="U55" s="141"/>
      <c r="V55" s="16">
        <f t="shared" si="21"/>
        <v>12282060.529999999</v>
      </c>
      <c r="W55" s="16">
        <f t="shared" si="21"/>
        <v>2794094.34</v>
      </c>
      <c r="X55" s="16">
        <f t="shared" si="21"/>
        <v>0</v>
      </c>
      <c r="Y55" s="16">
        <f t="shared" si="21"/>
        <v>0</v>
      </c>
      <c r="Z55" s="16">
        <f t="shared" si="21"/>
        <v>0</v>
      </c>
      <c r="AA55" s="16">
        <f t="shared" si="21"/>
        <v>1500000</v>
      </c>
      <c r="AB55" s="16">
        <f t="shared" si="21"/>
        <v>237918356.03999999</v>
      </c>
      <c r="AC55" s="16">
        <f t="shared" si="21"/>
        <v>0</v>
      </c>
      <c r="AD55" s="798" t="s">
        <v>29</v>
      </c>
      <c r="AE55" s="798" t="s">
        <v>29</v>
      </c>
      <c r="AF55" s="146"/>
      <c r="AG55" s="147"/>
    </row>
    <row r="56" spans="1:33" ht="24" customHeight="1">
      <c r="A56" s="894" t="s">
        <v>355</v>
      </c>
      <c r="B56" s="895"/>
      <c r="C56" s="895"/>
      <c r="D56" s="895"/>
      <c r="E56" s="895"/>
      <c r="F56" s="895"/>
      <c r="G56" s="895"/>
      <c r="H56" s="895"/>
      <c r="I56" s="895"/>
      <c r="J56" s="895"/>
      <c r="K56" s="895"/>
      <c r="L56" s="895"/>
      <c r="M56" s="895"/>
      <c r="N56" s="895"/>
      <c r="O56" s="895"/>
      <c r="P56" s="895"/>
      <c r="Q56" s="895"/>
      <c r="R56" s="895"/>
      <c r="S56" s="895"/>
      <c r="T56" s="896"/>
      <c r="U56" s="896"/>
      <c r="V56" s="895"/>
      <c r="W56" s="895"/>
      <c r="X56" s="895"/>
      <c r="Y56" s="895"/>
      <c r="Z56" s="895"/>
      <c r="AA56" s="895"/>
      <c r="AB56" s="895"/>
      <c r="AC56" s="895"/>
      <c r="AD56" s="895"/>
      <c r="AE56" s="897"/>
      <c r="AF56" s="808"/>
      <c r="AG56" s="806"/>
    </row>
    <row r="57" spans="1:33" s="26" customFormat="1" ht="24" customHeight="1">
      <c r="A57" s="18">
        <f>A54+1</f>
        <v>37</v>
      </c>
      <c r="B57" s="20" t="s">
        <v>56</v>
      </c>
      <c r="C57" s="4">
        <f>D57+F57+G57+H57+I57+K57+L57+M57+O57+P57+Q57+R57+S57+W57+V57+X57</f>
        <v>2500448.63</v>
      </c>
      <c r="D57" s="9"/>
      <c r="E57" s="9"/>
      <c r="F57" s="9"/>
      <c r="G57" s="12"/>
      <c r="H57" s="13"/>
      <c r="I57" s="13"/>
      <c r="J57" s="87">
        <v>1</v>
      </c>
      <c r="K57" s="7">
        <f t="shared" ref="K57:K58" si="22">(2501151.24-V57)/101.5*100</f>
        <v>2342020.9300000002</v>
      </c>
      <c r="L57" s="12"/>
      <c r="M57" s="22"/>
      <c r="N57" s="204"/>
      <c r="O57" s="204"/>
      <c r="P57" s="725"/>
      <c r="Q57" s="725"/>
      <c r="R57" s="87"/>
      <c r="S57" s="201"/>
      <c r="T57" s="732"/>
      <c r="U57" s="732"/>
      <c r="V57" s="3">
        <v>124000</v>
      </c>
      <c r="W57" s="600">
        <v>34427.699999999997</v>
      </c>
      <c r="X57" s="87"/>
      <c r="Y57" s="87"/>
      <c r="Z57" s="725">
        <f>K57+V57+W57</f>
        <v>2500448.63</v>
      </c>
      <c r="AA57" s="87"/>
      <c r="AB57" s="86"/>
      <c r="AC57" s="87"/>
      <c r="AD57" s="18">
        <v>2023</v>
      </c>
      <c r="AE57" s="18">
        <v>2023</v>
      </c>
      <c r="AF57" s="25"/>
      <c r="AG57" s="91"/>
    </row>
    <row r="58" spans="1:33" s="26" customFormat="1" ht="24" customHeight="1">
      <c r="A58" s="18">
        <f>A57+1</f>
        <v>38</v>
      </c>
      <c r="B58" s="77" t="s">
        <v>57</v>
      </c>
      <c r="C58" s="4">
        <f t="shared" ref="C58:C245" si="23">D58+F58+G58+H58+I58+K58+L58+M58+O58+P58+Q58+R58+S58+W58+V58+X58</f>
        <v>2500448.63</v>
      </c>
      <c r="D58" s="725"/>
      <c r="E58" s="21"/>
      <c r="F58" s="21"/>
      <c r="G58" s="12"/>
      <c r="H58" s="21"/>
      <c r="I58" s="13"/>
      <c r="J58" s="87">
        <v>1</v>
      </c>
      <c r="K58" s="7">
        <f t="shared" si="22"/>
        <v>2342020.9300000002</v>
      </c>
      <c r="L58" s="12"/>
      <c r="M58" s="22"/>
      <c r="N58" s="204"/>
      <c r="O58" s="204"/>
      <c r="P58" s="87"/>
      <c r="Q58" s="87"/>
      <c r="R58" s="87"/>
      <c r="S58" s="87"/>
      <c r="T58" s="124"/>
      <c r="U58" s="124"/>
      <c r="V58" s="3">
        <v>124000</v>
      </c>
      <c r="W58" s="600">
        <v>34427.699999999997</v>
      </c>
      <c r="X58" s="87"/>
      <c r="Y58" s="87"/>
      <c r="Z58" s="725">
        <f>K58+V58+W58</f>
        <v>2500448.63</v>
      </c>
      <c r="AA58" s="87"/>
      <c r="AB58" s="86"/>
      <c r="AC58" s="87"/>
      <c r="AD58" s="18">
        <v>2023</v>
      </c>
      <c r="AE58" s="18">
        <v>2023</v>
      </c>
      <c r="AF58" s="25"/>
      <c r="AG58" s="91"/>
    </row>
    <row r="59" spans="1:33" s="26" customFormat="1" ht="24" customHeight="1">
      <c r="A59" s="18">
        <f t="shared" ref="A59:A122" si="24">A58+1</f>
        <v>39</v>
      </c>
      <c r="B59" s="77" t="s">
        <v>348</v>
      </c>
      <c r="C59" s="4">
        <f t="shared" si="23"/>
        <v>11640392.6</v>
      </c>
      <c r="D59" s="725"/>
      <c r="E59" s="21"/>
      <c r="F59" s="87"/>
      <c r="G59" s="727"/>
      <c r="H59" s="87"/>
      <c r="I59" s="201"/>
      <c r="J59" s="18"/>
      <c r="K59" s="14"/>
      <c r="L59" s="12"/>
      <c r="M59" s="22"/>
      <c r="N59" s="204"/>
      <c r="O59" s="204"/>
      <c r="P59" s="725">
        <v>11031144.279999999</v>
      </c>
      <c r="Q59" s="87"/>
      <c r="R59" s="87"/>
      <c r="S59" s="87"/>
      <c r="T59" s="124"/>
      <c r="U59" s="124"/>
      <c r="V59" s="3">
        <v>607705.18000000005</v>
      </c>
      <c r="W59" s="600">
        <v>1543.14</v>
      </c>
      <c r="X59" s="87"/>
      <c r="Y59" s="87"/>
      <c r="Z59" s="725">
        <f>C59</f>
        <v>11640392.6</v>
      </c>
      <c r="AA59" s="87"/>
      <c r="AB59" s="86"/>
      <c r="AC59" s="87"/>
      <c r="AD59" s="18">
        <v>2023</v>
      </c>
      <c r="AE59" s="18">
        <v>2023</v>
      </c>
      <c r="AF59" s="25"/>
      <c r="AG59" s="91"/>
    </row>
    <row r="60" spans="1:33" s="26" customFormat="1" ht="24" customHeight="1">
      <c r="A60" s="18">
        <f t="shared" si="24"/>
        <v>40</v>
      </c>
      <c r="B60" s="35" t="s">
        <v>407</v>
      </c>
      <c r="C60" s="724">
        <f t="shared" ref="C60:C63" si="25">SUM(D60:X60)-(E60+J60+N60)</f>
        <v>6318627.4500000002</v>
      </c>
      <c r="D60" s="600"/>
      <c r="E60" s="80"/>
      <c r="F60" s="600"/>
      <c r="G60" s="600"/>
      <c r="H60" s="600"/>
      <c r="I60" s="600"/>
      <c r="J60" s="80"/>
      <c r="K60" s="78"/>
      <c r="L60" s="78"/>
      <c r="M60" s="78"/>
      <c r="N60" s="878">
        <v>2</v>
      </c>
      <c r="O60" s="600">
        <f>3037801.66*N60</f>
        <v>6075603.3200000003</v>
      </c>
      <c r="P60" s="600"/>
      <c r="Q60" s="600"/>
      <c r="R60" s="600"/>
      <c r="S60" s="600"/>
      <c r="T60" s="741"/>
      <c r="U60" s="741"/>
      <c r="V60" s="600">
        <f>75945.04*N60</f>
        <v>151890.07999999999</v>
      </c>
      <c r="W60" s="600">
        <f>O60*1.5/100</f>
        <v>91134.05</v>
      </c>
      <c r="X60" s="600"/>
      <c r="Y60" s="742"/>
      <c r="Z60" s="600"/>
      <c r="AA60" s="742"/>
      <c r="AB60" s="724">
        <f>SUM(O60+V60+W60)</f>
        <v>6318627.4500000002</v>
      </c>
      <c r="AC60" s="87"/>
      <c r="AD60" s="80">
        <v>2023</v>
      </c>
      <c r="AE60" s="80">
        <v>2024</v>
      </c>
      <c r="AF60" s="25"/>
      <c r="AG60" s="91"/>
    </row>
    <row r="61" spans="1:33" s="26" customFormat="1" ht="24" customHeight="1">
      <c r="A61" s="18">
        <f t="shared" si="24"/>
        <v>41</v>
      </c>
      <c r="B61" s="35" t="s">
        <v>408</v>
      </c>
      <c r="C61" s="724">
        <f t="shared" si="25"/>
        <v>3159313.72</v>
      </c>
      <c r="D61" s="600"/>
      <c r="E61" s="742"/>
      <c r="F61" s="600"/>
      <c r="G61" s="600"/>
      <c r="H61" s="600"/>
      <c r="I61" s="600"/>
      <c r="J61" s="80"/>
      <c r="K61" s="78"/>
      <c r="L61" s="78"/>
      <c r="M61" s="78"/>
      <c r="N61" s="878">
        <v>1</v>
      </c>
      <c r="O61" s="600">
        <f>3037801.66*N61</f>
        <v>3037801.66</v>
      </c>
      <c r="P61" s="600"/>
      <c r="Q61" s="600"/>
      <c r="R61" s="600"/>
      <c r="S61" s="600"/>
      <c r="T61" s="741"/>
      <c r="U61" s="741"/>
      <c r="V61" s="600">
        <f>75945.04*N61</f>
        <v>75945.039999999994</v>
      </c>
      <c r="W61" s="600">
        <f t="shared" ref="W61:W62" si="26">O61*1.5/100</f>
        <v>45567.02</v>
      </c>
      <c r="X61" s="600"/>
      <c r="Y61" s="742"/>
      <c r="Z61" s="600"/>
      <c r="AA61" s="742"/>
      <c r="AB61" s="724">
        <f t="shared" ref="AB61:AB62" si="27">SUM(O61+V61+W61)</f>
        <v>3159313.72</v>
      </c>
      <c r="AC61" s="87"/>
      <c r="AD61" s="80">
        <v>2023</v>
      </c>
      <c r="AE61" s="80">
        <v>2024</v>
      </c>
      <c r="AF61" s="25"/>
      <c r="AG61" s="91"/>
    </row>
    <row r="62" spans="1:33" s="26" customFormat="1" ht="24" customHeight="1">
      <c r="A62" s="18">
        <f t="shared" si="24"/>
        <v>42</v>
      </c>
      <c r="B62" s="35" t="s">
        <v>409</v>
      </c>
      <c r="C62" s="724">
        <f t="shared" si="25"/>
        <v>6318627.4500000002</v>
      </c>
      <c r="D62" s="600"/>
      <c r="E62" s="742"/>
      <c r="F62" s="600"/>
      <c r="G62" s="600"/>
      <c r="H62" s="600"/>
      <c r="I62" s="600"/>
      <c r="J62" s="80"/>
      <c r="K62" s="78"/>
      <c r="L62" s="78"/>
      <c r="M62" s="78"/>
      <c r="N62" s="878">
        <v>2</v>
      </c>
      <c r="O62" s="600">
        <f>3037801.66*N62</f>
        <v>6075603.3200000003</v>
      </c>
      <c r="P62" s="600"/>
      <c r="Q62" s="600"/>
      <c r="R62" s="600"/>
      <c r="S62" s="600"/>
      <c r="T62" s="741"/>
      <c r="U62" s="741"/>
      <c r="V62" s="600">
        <f>75945.04*N62</f>
        <v>151890.07999999999</v>
      </c>
      <c r="W62" s="600">
        <f t="shared" si="26"/>
        <v>91134.05</v>
      </c>
      <c r="X62" s="600"/>
      <c r="Y62" s="742"/>
      <c r="Z62" s="600"/>
      <c r="AA62" s="742"/>
      <c r="AB62" s="724">
        <f t="shared" si="27"/>
        <v>6318627.4500000002</v>
      </c>
      <c r="AC62" s="87"/>
      <c r="AD62" s="80">
        <v>2023</v>
      </c>
      <c r="AE62" s="80">
        <v>2024</v>
      </c>
      <c r="AF62" s="25"/>
      <c r="AG62" s="91"/>
    </row>
    <row r="63" spans="1:33" s="26" customFormat="1" ht="24" customHeight="1">
      <c r="A63" s="18">
        <f t="shared" si="24"/>
        <v>43</v>
      </c>
      <c r="B63" s="35" t="s">
        <v>204</v>
      </c>
      <c r="C63" s="724">
        <f t="shared" si="25"/>
        <v>1827624.95</v>
      </c>
      <c r="D63" s="600"/>
      <c r="E63" s="742">
        <v>1</v>
      </c>
      <c r="F63" s="600">
        <v>1604744.95</v>
      </c>
      <c r="G63" s="712"/>
      <c r="H63" s="600"/>
      <c r="I63" s="600"/>
      <c r="J63" s="80"/>
      <c r="K63" s="78"/>
      <c r="L63" s="82"/>
      <c r="M63" s="82"/>
      <c r="N63" s="880"/>
      <c r="O63" s="712"/>
      <c r="P63" s="600"/>
      <c r="Q63" s="600"/>
      <c r="R63" s="600"/>
      <c r="S63" s="600"/>
      <c r="T63" s="741"/>
      <c r="U63" s="741"/>
      <c r="V63" s="600">
        <v>222880</v>
      </c>
      <c r="W63" s="600"/>
      <c r="X63" s="600"/>
      <c r="Y63" s="742"/>
      <c r="Z63" s="600">
        <f>C63</f>
        <v>1827624.95</v>
      </c>
      <c r="AA63" s="742"/>
      <c r="AB63" s="724"/>
      <c r="AC63" s="87"/>
      <c r="AD63" s="80">
        <v>2023</v>
      </c>
      <c r="AE63" s="80">
        <v>2023</v>
      </c>
      <c r="AF63" s="25"/>
      <c r="AG63" s="91"/>
    </row>
    <row r="64" spans="1:33" s="26" customFormat="1" ht="24" customHeight="1">
      <c r="A64" s="18">
        <f t="shared" si="24"/>
        <v>44</v>
      </c>
      <c r="B64" s="77" t="s">
        <v>58</v>
      </c>
      <c r="C64" s="725">
        <f t="shared" si="23"/>
        <v>9189914.8200000003</v>
      </c>
      <c r="D64" s="725">
        <f>ROUND(2161*589.88,2)</f>
        <v>1274730.68</v>
      </c>
      <c r="E64" s="725"/>
      <c r="F64" s="725"/>
      <c r="G64" s="727">
        <f>ROUND(2161*596.38,2)</f>
        <v>1288777.18</v>
      </c>
      <c r="H64" s="201">
        <f>ROUND(2161*1074.75,2)</f>
        <v>2322534.75</v>
      </c>
      <c r="I64" s="201">
        <f>ROUND(2161*871.5,2)</f>
        <v>1883311.5</v>
      </c>
      <c r="J64" s="18"/>
      <c r="K64" s="9"/>
      <c r="L64" s="12">
        <f>ROUND(2161*616.25,2)</f>
        <v>1331716.25</v>
      </c>
      <c r="M64" s="22"/>
      <c r="N64" s="204"/>
      <c r="O64" s="204"/>
      <c r="P64" s="87"/>
      <c r="Q64" s="725"/>
      <c r="R64" s="87"/>
      <c r="S64" s="725"/>
      <c r="T64" s="739"/>
      <c r="U64" s="739"/>
      <c r="V64" s="3">
        <v>967328.4</v>
      </c>
      <c r="W64" s="600">
        <v>121516.06</v>
      </c>
      <c r="X64" s="87"/>
      <c r="Y64" s="87"/>
      <c r="Z64" s="87"/>
      <c r="AA64" s="87"/>
      <c r="AB64" s="86">
        <f t="shared" ref="AB64:AB230" si="28">C64</f>
        <v>9189914.8200000003</v>
      </c>
      <c r="AC64" s="87"/>
      <c r="AD64" s="18">
        <v>2023</v>
      </c>
      <c r="AE64" s="18">
        <v>2023</v>
      </c>
      <c r="AF64" s="25"/>
      <c r="AG64" s="91"/>
    </row>
    <row r="65" spans="1:33" s="26" customFormat="1" ht="24" customHeight="1">
      <c r="A65" s="18">
        <f t="shared" si="24"/>
        <v>45</v>
      </c>
      <c r="B65" s="77" t="s">
        <v>59</v>
      </c>
      <c r="C65" s="725">
        <f>D65+F65+G65+H65+I65+K65+L65+M65+O65+P65+Q65+R65+S65+W65+V65+X65</f>
        <v>15890998.41</v>
      </c>
      <c r="D65" s="724">
        <f>ROUND(1904.5*589.88,2)</f>
        <v>1123426.46</v>
      </c>
      <c r="E65" s="87"/>
      <c r="F65" s="87"/>
      <c r="G65" s="727">
        <f>ROUND(1904.5*596.38,2)</f>
        <v>1135805.71</v>
      </c>
      <c r="H65" s="201">
        <f>ROUND(1904.5*1074.75,2)</f>
        <v>2046861.38</v>
      </c>
      <c r="I65" s="201">
        <f>ROUND(1904.5*4857.9,2)</f>
        <v>9251870.5500000007</v>
      </c>
      <c r="J65" s="18"/>
      <c r="K65" s="9"/>
      <c r="L65" s="12">
        <f>ROUND(1904.5*616.25,2)</f>
        <v>1173648.1299999999</v>
      </c>
      <c r="M65" s="22"/>
      <c r="N65" s="204"/>
      <c r="O65" s="204"/>
      <c r="P65" s="87"/>
      <c r="Q65" s="725"/>
      <c r="R65" s="725"/>
      <c r="S65" s="725"/>
      <c r="T65" s="739"/>
      <c r="U65" s="739"/>
      <c r="V65" s="3">
        <v>938412</v>
      </c>
      <c r="W65" s="600">
        <v>220974.18</v>
      </c>
      <c r="X65" s="87"/>
      <c r="Y65" s="87"/>
      <c r="Z65" s="87"/>
      <c r="AA65" s="87"/>
      <c r="AB65" s="86">
        <f t="shared" si="28"/>
        <v>15890998.41</v>
      </c>
      <c r="AC65" s="87"/>
      <c r="AD65" s="18">
        <v>2023</v>
      </c>
      <c r="AE65" s="18">
        <v>2023</v>
      </c>
      <c r="AF65" s="25"/>
      <c r="AG65" s="91"/>
    </row>
    <row r="66" spans="1:33" s="26" customFormat="1" ht="24" customHeight="1">
      <c r="A66" s="18">
        <f t="shared" si="24"/>
        <v>46</v>
      </c>
      <c r="B66" s="77" t="s">
        <v>1190</v>
      </c>
      <c r="C66" s="724">
        <f t="shared" ref="C66:C67" si="29">SUM(D66:X66)-(E66+J66+N66)</f>
        <v>6318627.4500000002</v>
      </c>
      <c r="D66" s="600"/>
      <c r="E66" s="742"/>
      <c r="F66" s="600"/>
      <c r="G66" s="600"/>
      <c r="H66" s="600"/>
      <c r="I66" s="600"/>
      <c r="J66" s="39"/>
      <c r="K66" s="78"/>
      <c r="L66" s="78"/>
      <c r="M66" s="78"/>
      <c r="N66" s="878">
        <v>2</v>
      </c>
      <c r="O66" s="600">
        <f>3037801.66*N66</f>
        <v>6075603.3200000003</v>
      </c>
      <c r="P66" s="600"/>
      <c r="Q66" s="600"/>
      <c r="R66" s="600"/>
      <c r="S66" s="600"/>
      <c r="T66" s="741"/>
      <c r="U66" s="741"/>
      <c r="V66" s="600">
        <f>75945.04*N66</f>
        <v>151890.07999999999</v>
      </c>
      <c r="W66" s="600">
        <f>O66*1.5/100</f>
        <v>91134.05</v>
      </c>
      <c r="X66" s="600"/>
      <c r="Y66" s="724"/>
      <c r="Z66" s="600"/>
      <c r="AA66" s="743"/>
      <c r="AB66" s="724">
        <f>SUM(O66+V66+W66)</f>
        <v>6318627.4500000002</v>
      </c>
      <c r="AC66" s="87"/>
      <c r="AD66" s="18">
        <v>2023</v>
      </c>
      <c r="AE66" s="18">
        <v>2024</v>
      </c>
      <c r="AF66" s="25"/>
      <c r="AG66" s="91"/>
    </row>
    <row r="67" spans="1:33" s="26" customFormat="1" ht="24" customHeight="1">
      <c r="A67" s="18">
        <f t="shared" si="24"/>
        <v>47</v>
      </c>
      <c r="B67" s="77" t="s">
        <v>1191</v>
      </c>
      <c r="C67" s="724">
        <f t="shared" si="29"/>
        <v>1827624.95</v>
      </c>
      <c r="D67" s="600"/>
      <c r="E67" s="742">
        <v>1</v>
      </c>
      <c r="F67" s="600">
        <v>1604744.95</v>
      </c>
      <c r="G67" s="712"/>
      <c r="H67" s="600"/>
      <c r="I67" s="600"/>
      <c r="J67" s="742"/>
      <c r="K67" s="78"/>
      <c r="L67" s="82"/>
      <c r="M67" s="82"/>
      <c r="N67" s="880"/>
      <c r="O67" s="712"/>
      <c r="P67" s="600"/>
      <c r="Q67" s="600"/>
      <c r="R67" s="600"/>
      <c r="S67" s="600"/>
      <c r="T67" s="741"/>
      <c r="U67" s="741"/>
      <c r="V67" s="600">
        <v>222880</v>
      </c>
      <c r="W67" s="600"/>
      <c r="X67" s="600"/>
      <c r="Y67" s="724"/>
      <c r="Z67" s="600">
        <f>C67</f>
        <v>1827624.95</v>
      </c>
      <c r="AA67" s="743"/>
      <c r="AB67" s="724"/>
      <c r="AC67" s="87"/>
      <c r="AD67" s="18">
        <v>2023</v>
      </c>
      <c r="AE67" s="18">
        <v>2023</v>
      </c>
      <c r="AF67" s="25"/>
      <c r="AG67" s="91"/>
    </row>
    <row r="68" spans="1:33" s="26" customFormat="1" ht="24" customHeight="1">
      <c r="A68" s="18">
        <f t="shared" si="24"/>
        <v>48</v>
      </c>
      <c r="B68" s="77" t="s">
        <v>60</v>
      </c>
      <c r="C68" s="725">
        <f t="shared" si="23"/>
        <v>10525490.58</v>
      </c>
      <c r="D68" s="725"/>
      <c r="E68" s="87"/>
      <c r="F68" s="87"/>
      <c r="G68" s="727"/>
      <c r="H68" s="201"/>
      <c r="I68" s="201"/>
      <c r="J68" s="87"/>
      <c r="K68" s="9"/>
      <c r="L68" s="12"/>
      <c r="M68" s="22"/>
      <c r="N68" s="204"/>
      <c r="O68" s="204"/>
      <c r="P68" s="204"/>
      <c r="Q68" s="727">
        <f>ROUND(1364.3*1954.25,2)</f>
        <v>2666183.2799999998</v>
      </c>
      <c r="R68" s="725">
        <f>ROUND(1364.3*3842.27,2)</f>
        <v>5242008.96</v>
      </c>
      <c r="S68" s="725">
        <f>ROUND(1364.3*1135.41,2)</f>
        <v>1549039.86</v>
      </c>
      <c r="T68" s="739"/>
      <c r="U68" s="739"/>
      <c r="V68" s="3">
        <v>926400</v>
      </c>
      <c r="W68" s="600">
        <v>141858.48000000001</v>
      </c>
      <c r="X68" s="87"/>
      <c r="Y68" s="87"/>
      <c r="Z68" s="87"/>
      <c r="AA68" s="87"/>
      <c r="AB68" s="86">
        <f t="shared" si="28"/>
        <v>10525490.58</v>
      </c>
      <c r="AC68" s="87"/>
      <c r="AD68" s="18">
        <v>2023</v>
      </c>
      <c r="AE68" s="18">
        <v>2023</v>
      </c>
      <c r="AF68" s="25"/>
      <c r="AG68" s="91"/>
    </row>
    <row r="69" spans="1:33" s="26" customFormat="1" ht="24" customHeight="1">
      <c r="A69" s="18">
        <f t="shared" si="24"/>
        <v>49</v>
      </c>
      <c r="B69" s="77" t="s">
        <v>946</v>
      </c>
      <c r="C69" s="4">
        <f t="shared" si="23"/>
        <v>18477715.699999999</v>
      </c>
      <c r="D69" s="725">
        <f>ROUND(1604.8*660.21,2)</f>
        <v>1059505.01</v>
      </c>
      <c r="E69" s="725"/>
      <c r="F69" s="725"/>
      <c r="G69" s="727">
        <f>ROUND(1604.8*620.83,2)</f>
        <v>996307.98</v>
      </c>
      <c r="H69" s="201">
        <f>ROUND(1604.8*665.62,2)</f>
        <v>1068186.98</v>
      </c>
      <c r="I69" s="201">
        <f>ROUND(1604.8*3990.81,2)</f>
        <v>6404451.8899999997</v>
      </c>
      <c r="J69" s="725"/>
      <c r="K69" s="9"/>
      <c r="L69" s="12">
        <f>ROUND(1604.8*616.25,2)</f>
        <v>988958</v>
      </c>
      <c r="M69" s="12"/>
      <c r="N69" s="727"/>
      <c r="O69" s="727"/>
      <c r="P69" s="725">
        <f>ROUND(1604.8*3617.12,2)</f>
        <v>5804754.1799999997</v>
      </c>
      <c r="Q69" s="744"/>
      <c r="R69" s="725"/>
      <c r="S69" s="727"/>
      <c r="T69" s="745"/>
      <c r="U69" s="745"/>
      <c r="V69" s="3">
        <f>1267905.6+642813.6</f>
        <v>1910719.2</v>
      </c>
      <c r="W69" s="600">
        <v>244832.46</v>
      </c>
      <c r="X69" s="87"/>
      <c r="Y69" s="87"/>
      <c r="Z69" s="87"/>
      <c r="AA69" s="87"/>
      <c r="AB69" s="86">
        <f t="shared" si="28"/>
        <v>18477715.699999999</v>
      </c>
      <c r="AC69" s="87"/>
      <c r="AD69" s="40" t="s">
        <v>454</v>
      </c>
      <c r="AE69" s="18">
        <v>2023</v>
      </c>
      <c r="AF69" s="25"/>
      <c r="AG69" s="91"/>
    </row>
    <row r="70" spans="1:33" s="26" customFormat="1" ht="24" customHeight="1">
      <c r="A70" s="18">
        <f t="shared" si="24"/>
        <v>50</v>
      </c>
      <c r="B70" s="77" t="s">
        <v>947</v>
      </c>
      <c r="C70" s="4">
        <f t="shared" si="23"/>
        <v>2500448.63</v>
      </c>
      <c r="D70" s="725"/>
      <c r="E70" s="87"/>
      <c r="F70" s="87"/>
      <c r="G70" s="727"/>
      <c r="H70" s="201"/>
      <c r="I70" s="201"/>
      <c r="J70" s="87">
        <v>1</v>
      </c>
      <c r="K70" s="7">
        <f t="shared" ref="K70:K78" si="30">(2501151.24-V70)/101.5*100</f>
        <v>2342020.9300000002</v>
      </c>
      <c r="L70" s="12"/>
      <c r="M70" s="22"/>
      <c r="N70" s="22"/>
      <c r="O70" s="22"/>
      <c r="P70" s="22"/>
      <c r="Q70" s="12"/>
      <c r="R70" s="9"/>
      <c r="S70" s="9"/>
      <c r="T70" s="108"/>
      <c r="U70" s="108"/>
      <c r="V70" s="5">
        <v>124000</v>
      </c>
      <c r="W70" s="746">
        <v>34427.699999999997</v>
      </c>
      <c r="X70" s="21"/>
      <c r="Y70" s="21"/>
      <c r="Z70" s="9">
        <f t="shared" ref="Z70:Z79" si="31">K70+V70+W70</f>
        <v>2500448.63</v>
      </c>
      <c r="AA70" s="21"/>
      <c r="AB70" s="24"/>
      <c r="AC70" s="21"/>
      <c r="AD70" s="18">
        <v>2023</v>
      </c>
      <c r="AE70" s="18">
        <v>2023</v>
      </c>
      <c r="AF70" s="25"/>
      <c r="AG70" s="91"/>
    </row>
    <row r="71" spans="1:33" s="26" customFormat="1" ht="24" customHeight="1">
      <c r="A71" s="18">
        <f t="shared" si="24"/>
        <v>51</v>
      </c>
      <c r="B71" s="77" t="s">
        <v>948</v>
      </c>
      <c r="C71" s="4">
        <f t="shared" si="23"/>
        <v>2500448.63</v>
      </c>
      <c r="D71" s="725"/>
      <c r="E71" s="87"/>
      <c r="F71" s="87"/>
      <c r="G71" s="727"/>
      <c r="H71" s="201"/>
      <c r="I71" s="201"/>
      <c r="J71" s="87">
        <v>1</v>
      </c>
      <c r="K71" s="7">
        <f t="shared" si="30"/>
        <v>2342020.9300000002</v>
      </c>
      <c r="L71" s="12"/>
      <c r="M71" s="22"/>
      <c r="N71" s="22"/>
      <c r="O71" s="22"/>
      <c r="P71" s="22"/>
      <c r="Q71" s="12"/>
      <c r="R71" s="9"/>
      <c r="S71" s="9"/>
      <c r="T71" s="108"/>
      <c r="U71" s="108"/>
      <c r="V71" s="5">
        <v>124000</v>
      </c>
      <c r="W71" s="746">
        <v>34427.699999999997</v>
      </c>
      <c r="X71" s="21"/>
      <c r="Y71" s="21"/>
      <c r="Z71" s="9">
        <f t="shared" si="31"/>
        <v>2500448.63</v>
      </c>
      <c r="AA71" s="21"/>
      <c r="AB71" s="24"/>
      <c r="AC71" s="21"/>
      <c r="AD71" s="18">
        <v>2023</v>
      </c>
      <c r="AE71" s="18">
        <v>2023</v>
      </c>
      <c r="AF71" s="25"/>
      <c r="AG71" s="91"/>
    </row>
    <row r="72" spans="1:33" s="26" customFormat="1" ht="24" customHeight="1">
      <c r="A72" s="18">
        <f t="shared" si="24"/>
        <v>52</v>
      </c>
      <c r="B72" s="77" t="s">
        <v>949</v>
      </c>
      <c r="C72" s="4">
        <f t="shared" si="23"/>
        <v>2500448.63</v>
      </c>
      <c r="D72" s="725"/>
      <c r="E72" s="87"/>
      <c r="F72" s="87"/>
      <c r="G72" s="727"/>
      <c r="H72" s="201"/>
      <c r="I72" s="201"/>
      <c r="J72" s="87">
        <v>1</v>
      </c>
      <c r="K72" s="7">
        <f t="shared" si="30"/>
        <v>2342020.9300000002</v>
      </c>
      <c r="L72" s="12"/>
      <c r="M72" s="22"/>
      <c r="N72" s="22"/>
      <c r="O72" s="22"/>
      <c r="P72" s="22"/>
      <c r="Q72" s="12"/>
      <c r="R72" s="9"/>
      <c r="S72" s="9"/>
      <c r="T72" s="108"/>
      <c r="U72" s="108"/>
      <c r="V72" s="5">
        <v>124000</v>
      </c>
      <c r="W72" s="746">
        <v>34427.699999999997</v>
      </c>
      <c r="X72" s="21"/>
      <c r="Y72" s="21"/>
      <c r="Z72" s="9">
        <f t="shared" si="31"/>
        <v>2500448.63</v>
      </c>
      <c r="AA72" s="21"/>
      <c r="AB72" s="24"/>
      <c r="AC72" s="21"/>
      <c r="AD72" s="18">
        <v>2023</v>
      </c>
      <c r="AE72" s="18">
        <v>2023</v>
      </c>
      <c r="AF72" s="25"/>
      <c r="AG72" s="91"/>
    </row>
    <row r="73" spans="1:33" s="26" customFormat="1" ht="24" customHeight="1">
      <c r="A73" s="18">
        <f t="shared" si="24"/>
        <v>53</v>
      </c>
      <c r="B73" s="77" t="s">
        <v>950</v>
      </c>
      <c r="C73" s="4">
        <f t="shared" si="23"/>
        <v>2500448.63</v>
      </c>
      <c r="D73" s="725"/>
      <c r="E73" s="21"/>
      <c r="F73" s="87"/>
      <c r="G73" s="727"/>
      <c r="H73" s="201"/>
      <c r="I73" s="201"/>
      <c r="J73" s="87">
        <v>1</v>
      </c>
      <c r="K73" s="7">
        <f t="shared" si="30"/>
        <v>2342020.9300000002</v>
      </c>
      <c r="L73" s="12"/>
      <c r="M73" s="22"/>
      <c r="N73" s="22"/>
      <c r="O73" s="22"/>
      <c r="P73" s="22"/>
      <c r="Q73" s="12"/>
      <c r="R73" s="9"/>
      <c r="S73" s="9"/>
      <c r="T73" s="108"/>
      <c r="U73" s="108"/>
      <c r="V73" s="5">
        <v>124000</v>
      </c>
      <c r="W73" s="746">
        <v>34427.699999999997</v>
      </c>
      <c r="X73" s="21"/>
      <c r="Y73" s="21"/>
      <c r="Z73" s="9">
        <f t="shared" si="31"/>
        <v>2500448.63</v>
      </c>
      <c r="AA73" s="21"/>
      <c r="AB73" s="24"/>
      <c r="AC73" s="21"/>
      <c r="AD73" s="18">
        <v>2023</v>
      </c>
      <c r="AE73" s="18">
        <v>2023</v>
      </c>
      <c r="AF73" s="25"/>
      <c r="AG73" s="91"/>
    </row>
    <row r="74" spans="1:33" s="26" customFormat="1" ht="24" customHeight="1">
      <c r="A74" s="18">
        <f t="shared" si="24"/>
        <v>54</v>
      </c>
      <c r="B74" s="77" t="s">
        <v>951</v>
      </c>
      <c r="C74" s="4">
        <f t="shared" si="23"/>
        <v>2500448.63</v>
      </c>
      <c r="D74" s="725"/>
      <c r="E74" s="21"/>
      <c r="F74" s="87"/>
      <c r="G74" s="727"/>
      <c r="H74" s="201"/>
      <c r="I74" s="201"/>
      <c r="J74" s="87">
        <v>1</v>
      </c>
      <c r="K74" s="7">
        <f t="shared" si="30"/>
        <v>2342020.9300000002</v>
      </c>
      <c r="L74" s="12"/>
      <c r="M74" s="22"/>
      <c r="N74" s="22"/>
      <c r="O74" s="22"/>
      <c r="P74" s="22"/>
      <c r="Q74" s="12"/>
      <c r="R74" s="9"/>
      <c r="S74" s="9"/>
      <c r="T74" s="108"/>
      <c r="U74" s="108"/>
      <c r="V74" s="5">
        <v>124000</v>
      </c>
      <c r="W74" s="746">
        <v>34427.699999999997</v>
      </c>
      <c r="X74" s="21"/>
      <c r="Y74" s="21"/>
      <c r="Z74" s="9">
        <f t="shared" si="31"/>
        <v>2500448.63</v>
      </c>
      <c r="AA74" s="21"/>
      <c r="AB74" s="24"/>
      <c r="AC74" s="21"/>
      <c r="AD74" s="18">
        <v>2023</v>
      </c>
      <c r="AE74" s="18">
        <v>2023</v>
      </c>
      <c r="AF74" s="25"/>
      <c r="AG74" s="91"/>
    </row>
    <row r="75" spans="1:33" s="26" customFormat="1" ht="24" customHeight="1">
      <c r="A75" s="18">
        <f t="shared" si="24"/>
        <v>55</v>
      </c>
      <c r="B75" s="77" t="s">
        <v>952</v>
      </c>
      <c r="C75" s="4">
        <f t="shared" si="23"/>
        <v>2500448.63</v>
      </c>
      <c r="D75" s="725"/>
      <c r="E75" s="21"/>
      <c r="F75" s="87"/>
      <c r="G75" s="727"/>
      <c r="H75" s="201"/>
      <c r="I75" s="201"/>
      <c r="J75" s="87">
        <v>1</v>
      </c>
      <c r="K75" s="7">
        <f t="shared" si="30"/>
        <v>2342020.9300000002</v>
      </c>
      <c r="L75" s="12"/>
      <c r="M75" s="22"/>
      <c r="N75" s="22"/>
      <c r="O75" s="22"/>
      <c r="P75" s="22"/>
      <c r="Q75" s="12"/>
      <c r="R75" s="9"/>
      <c r="S75" s="9"/>
      <c r="T75" s="108"/>
      <c r="U75" s="108"/>
      <c r="V75" s="5">
        <v>124000</v>
      </c>
      <c r="W75" s="746">
        <v>34427.699999999997</v>
      </c>
      <c r="X75" s="21"/>
      <c r="Y75" s="21"/>
      <c r="Z75" s="9">
        <f t="shared" si="31"/>
        <v>2500448.63</v>
      </c>
      <c r="AA75" s="21"/>
      <c r="AB75" s="24"/>
      <c r="AC75" s="21"/>
      <c r="AD75" s="18">
        <v>2023</v>
      </c>
      <c r="AE75" s="18">
        <v>2023</v>
      </c>
      <c r="AF75" s="25"/>
      <c r="AG75" s="91"/>
    </row>
    <row r="76" spans="1:33" s="26" customFormat="1" ht="24" customHeight="1">
      <c r="A76" s="18">
        <f t="shared" si="24"/>
        <v>56</v>
      </c>
      <c r="B76" s="77" t="s">
        <v>953</v>
      </c>
      <c r="C76" s="4">
        <f t="shared" si="23"/>
        <v>2500448.63</v>
      </c>
      <c r="D76" s="725"/>
      <c r="E76" s="21"/>
      <c r="F76" s="87"/>
      <c r="G76" s="727"/>
      <c r="H76" s="201"/>
      <c r="I76" s="201"/>
      <c r="J76" s="87">
        <v>1</v>
      </c>
      <c r="K76" s="7">
        <f t="shared" si="30"/>
        <v>2342020.9300000002</v>
      </c>
      <c r="L76" s="12"/>
      <c r="M76" s="22"/>
      <c r="N76" s="22"/>
      <c r="O76" s="22"/>
      <c r="P76" s="22"/>
      <c r="Q76" s="12"/>
      <c r="R76" s="9"/>
      <c r="S76" s="9"/>
      <c r="T76" s="108"/>
      <c r="U76" s="108"/>
      <c r="V76" s="5">
        <v>124000</v>
      </c>
      <c r="W76" s="746">
        <v>34427.699999999997</v>
      </c>
      <c r="X76" s="21"/>
      <c r="Y76" s="21"/>
      <c r="Z76" s="9">
        <f t="shared" si="31"/>
        <v>2500448.63</v>
      </c>
      <c r="AA76" s="21"/>
      <c r="AB76" s="24"/>
      <c r="AC76" s="21"/>
      <c r="AD76" s="18">
        <v>2023</v>
      </c>
      <c r="AE76" s="18">
        <v>2023</v>
      </c>
      <c r="AF76" s="25"/>
      <c r="AG76" s="91"/>
    </row>
    <row r="77" spans="1:33" s="26" customFormat="1" ht="24" customHeight="1">
      <c r="A77" s="18">
        <f t="shared" si="24"/>
        <v>57</v>
      </c>
      <c r="B77" s="77" t="s">
        <v>954</v>
      </c>
      <c r="C77" s="4">
        <f t="shared" si="23"/>
        <v>2500448.63</v>
      </c>
      <c r="D77" s="725"/>
      <c r="E77" s="21"/>
      <c r="F77" s="87"/>
      <c r="G77" s="727"/>
      <c r="H77" s="201"/>
      <c r="I77" s="201"/>
      <c r="J77" s="87">
        <v>1</v>
      </c>
      <c r="K77" s="7">
        <f t="shared" si="30"/>
        <v>2342020.9300000002</v>
      </c>
      <c r="L77" s="12"/>
      <c r="M77" s="22"/>
      <c r="N77" s="22"/>
      <c r="O77" s="22"/>
      <c r="P77" s="22"/>
      <c r="Q77" s="12"/>
      <c r="R77" s="9"/>
      <c r="S77" s="9"/>
      <c r="T77" s="108"/>
      <c r="U77" s="108"/>
      <c r="V77" s="5">
        <v>124000</v>
      </c>
      <c r="W77" s="746">
        <v>34427.699999999997</v>
      </c>
      <c r="X77" s="21"/>
      <c r="Y77" s="21"/>
      <c r="Z77" s="9">
        <f t="shared" si="31"/>
        <v>2500448.63</v>
      </c>
      <c r="AA77" s="21"/>
      <c r="AB77" s="24"/>
      <c r="AC77" s="21"/>
      <c r="AD77" s="18">
        <v>2023</v>
      </c>
      <c r="AE77" s="18">
        <v>2023</v>
      </c>
      <c r="AF77" s="25"/>
      <c r="AG77" s="91"/>
    </row>
    <row r="78" spans="1:33" s="26" customFormat="1" ht="24" customHeight="1">
      <c r="A78" s="18">
        <f t="shared" si="24"/>
        <v>58</v>
      </c>
      <c r="B78" s="77" t="s">
        <v>955</v>
      </c>
      <c r="C78" s="4">
        <f t="shared" si="23"/>
        <v>2500448.63</v>
      </c>
      <c r="D78" s="725"/>
      <c r="E78" s="21"/>
      <c r="F78" s="87"/>
      <c r="G78" s="727"/>
      <c r="H78" s="201"/>
      <c r="I78" s="201"/>
      <c r="J78" s="87">
        <v>1</v>
      </c>
      <c r="K78" s="7">
        <f t="shared" si="30"/>
        <v>2342020.9300000002</v>
      </c>
      <c r="L78" s="12"/>
      <c r="M78" s="22"/>
      <c r="N78" s="22"/>
      <c r="O78" s="22"/>
      <c r="P78" s="22"/>
      <c r="Q78" s="12"/>
      <c r="R78" s="9"/>
      <c r="S78" s="9"/>
      <c r="T78" s="108"/>
      <c r="U78" s="108"/>
      <c r="V78" s="5">
        <v>124000</v>
      </c>
      <c r="W78" s="746">
        <v>34427.699999999997</v>
      </c>
      <c r="X78" s="21"/>
      <c r="Y78" s="21"/>
      <c r="Z78" s="9">
        <f t="shared" si="31"/>
        <v>2500448.63</v>
      </c>
      <c r="AA78" s="21"/>
      <c r="AB78" s="24"/>
      <c r="AC78" s="21"/>
      <c r="AD78" s="18">
        <v>2023</v>
      </c>
      <c r="AE78" s="18">
        <v>2023</v>
      </c>
      <c r="AF78" s="25"/>
      <c r="AG78" s="91"/>
    </row>
    <row r="79" spans="1:33" s="26" customFormat="1" ht="24" customHeight="1">
      <c r="A79" s="18">
        <f t="shared" si="24"/>
        <v>59</v>
      </c>
      <c r="B79" s="77" t="s">
        <v>956</v>
      </c>
      <c r="C79" s="4">
        <f t="shared" si="23"/>
        <v>2500448.63</v>
      </c>
      <c r="D79" s="725"/>
      <c r="E79" s="21"/>
      <c r="F79" s="87"/>
      <c r="G79" s="727"/>
      <c r="H79" s="201"/>
      <c r="I79" s="201"/>
      <c r="J79" s="87">
        <v>1</v>
      </c>
      <c r="K79" s="7">
        <f t="shared" ref="K79:K89" si="32">(2501151.24-V79)/101.5*100</f>
        <v>2342020.9300000002</v>
      </c>
      <c r="L79" s="12"/>
      <c r="M79" s="22"/>
      <c r="N79" s="22"/>
      <c r="O79" s="22"/>
      <c r="P79" s="22"/>
      <c r="Q79" s="12"/>
      <c r="R79" s="9"/>
      <c r="S79" s="9"/>
      <c r="T79" s="108"/>
      <c r="U79" s="108"/>
      <c r="V79" s="5">
        <v>124000</v>
      </c>
      <c r="W79" s="746">
        <v>34427.699999999997</v>
      </c>
      <c r="X79" s="21"/>
      <c r="Y79" s="21"/>
      <c r="Z79" s="9">
        <f t="shared" si="31"/>
        <v>2500448.63</v>
      </c>
      <c r="AA79" s="21"/>
      <c r="AB79" s="24"/>
      <c r="AC79" s="21"/>
      <c r="AD79" s="18">
        <v>2023</v>
      </c>
      <c r="AE79" s="18">
        <v>2023</v>
      </c>
      <c r="AF79" s="25"/>
      <c r="AG79" s="91"/>
    </row>
    <row r="80" spans="1:33" s="26" customFormat="1" ht="24" customHeight="1">
      <c r="A80" s="18">
        <f t="shared" si="24"/>
        <v>60</v>
      </c>
      <c r="B80" s="77" t="s">
        <v>957</v>
      </c>
      <c r="C80" s="4">
        <f t="shared" si="23"/>
        <v>7679444.7699999996</v>
      </c>
      <c r="D80" s="9">
        <v>275421.28999999998</v>
      </c>
      <c r="E80" s="21"/>
      <c r="F80" s="21"/>
      <c r="G80" s="12">
        <v>202287.2</v>
      </c>
      <c r="H80" s="13">
        <v>309441.84999999998</v>
      </c>
      <c r="I80" s="13">
        <v>746180.98</v>
      </c>
      <c r="J80" s="87"/>
      <c r="K80" s="11"/>
      <c r="L80" s="12">
        <v>274886.88</v>
      </c>
      <c r="M80" s="22"/>
      <c r="N80" s="22"/>
      <c r="O80" s="22"/>
      <c r="P80" s="106">
        <v>3850904.22</v>
      </c>
      <c r="Q80" s="12"/>
      <c r="R80" s="9">
        <v>1896710.53</v>
      </c>
      <c r="S80" s="9"/>
      <c r="T80" s="108"/>
      <c r="U80" s="108"/>
      <c r="V80" s="5"/>
      <c r="W80" s="746">
        <v>123611.82</v>
      </c>
      <c r="X80" s="21"/>
      <c r="Y80" s="21"/>
      <c r="Z80" s="24">
        <f>C80</f>
        <v>7679444.7699999996</v>
      </c>
      <c r="AA80" s="21"/>
      <c r="AB80" s="24"/>
      <c r="AC80" s="18"/>
      <c r="AD80" s="18">
        <v>2022</v>
      </c>
      <c r="AE80" s="18">
        <v>2023</v>
      </c>
      <c r="AF80" s="25"/>
      <c r="AG80" s="91"/>
    </row>
    <row r="81" spans="1:33" s="26" customFormat="1" ht="24" customHeight="1">
      <c r="A81" s="18">
        <f t="shared" si="24"/>
        <v>61</v>
      </c>
      <c r="B81" s="77" t="s">
        <v>958</v>
      </c>
      <c r="C81" s="4">
        <f t="shared" si="23"/>
        <v>2500448.63</v>
      </c>
      <c r="D81" s="725"/>
      <c r="E81" s="21"/>
      <c r="F81" s="21"/>
      <c r="G81" s="12"/>
      <c r="H81" s="13"/>
      <c r="I81" s="13"/>
      <c r="J81" s="87">
        <v>1</v>
      </c>
      <c r="K81" s="7">
        <f t="shared" si="32"/>
        <v>2342020.9300000002</v>
      </c>
      <c r="L81" s="12"/>
      <c r="M81" s="22"/>
      <c r="N81" s="22"/>
      <c r="O81" s="22"/>
      <c r="P81" s="22"/>
      <c r="Q81" s="12"/>
      <c r="R81" s="9"/>
      <c r="S81" s="9"/>
      <c r="T81" s="108"/>
      <c r="U81" s="108"/>
      <c r="V81" s="3">
        <v>124000</v>
      </c>
      <c r="W81" s="600">
        <v>34427.699999999997</v>
      </c>
      <c r="X81" s="21"/>
      <c r="Y81" s="21"/>
      <c r="Z81" s="9">
        <f t="shared" ref="Z81:Z91" si="33">K81+V81+W81</f>
        <v>2500448.63</v>
      </c>
      <c r="AA81" s="21"/>
      <c r="AB81" s="24"/>
      <c r="AC81" s="18"/>
      <c r="AD81" s="18">
        <v>2023</v>
      </c>
      <c r="AE81" s="18">
        <v>2023</v>
      </c>
      <c r="AF81" s="25"/>
      <c r="AG81" s="91"/>
    </row>
    <row r="82" spans="1:33" s="26" customFormat="1" ht="24" customHeight="1">
      <c r="A82" s="18">
        <f t="shared" si="24"/>
        <v>62</v>
      </c>
      <c r="B82" s="77" t="s">
        <v>959</v>
      </c>
      <c r="C82" s="4">
        <f t="shared" si="23"/>
        <v>2500448.63</v>
      </c>
      <c r="D82" s="9"/>
      <c r="E82" s="21"/>
      <c r="F82" s="21"/>
      <c r="G82" s="12"/>
      <c r="H82" s="13"/>
      <c r="I82" s="13"/>
      <c r="J82" s="87">
        <v>1</v>
      </c>
      <c r="K82" s="7">
        <f t="shared" si="32"/>
        <v>2342020.9300000002</v>
      </c>
      <c r="L82" s="12"/>
      <c r="M82" s="22"/>
      <c r="N82" s="22"/>
      <c r="O82" s="22"/>
      <c r="P82" s="22"/>
      <c r="Q82" s="12"/>
      <c r="R82" s="9"/>
      <c r="S82" s="9"/>
      <c r="T82" s="108"/>
      <c r="U82" s="108"/>
      <c r="V82" s="3">
        <v>124000</v>
      </c>
      <c r="W82" s="600">
        <v>34427.699999999997</v>
      </c>
      <c r="X82" s="21"/>
      <c r="Y82" s="21"/>
      <c r="Z82" s="9">
        <f t="shared" si="33"/>
        <v>2500448.63</v>
      </c>
      <c r="AA82" s="21"/>
      <c r="AB82" s="24"/>
      <c r="AC82" s="18"/>
      <c r="AD82" s="18">
        <v>2023</v>
      </c>
      <c r="AE82" s="18">
        <v>2023</v>
      </c>
      <c r="AF82" s="25"/>
      <c r="AG82" s="91"/>
    </row>
    <row r="83" spans="1:33" s="26" customFormat="1" ht="24" customHeight="1">
      <c r="A83" s="18">
        <f t="shared" si="24"/>
        <v>63</v>
      </c>
      <c r="B83" s="77" t="s">
        <v>960</v>
      </c>
      <c r="C83" s="4">
        <f t="shared" si="23"/>
        <v>2500448.63</v>
      </c>
      <c r="D83" s="9"/>
      <c r="E83" s="21"/>
      <c r="F83" s="21"/>
      <c r="G83" s="12"/>
      <c r="H83" s="13"/>
      <c r="I83" s="13"/>
      <c r="J83" s="87">
        <v>1</v>
      </c>
      <c r="K83" s="7">
        <f t="shared" si="32"/>
        <v>2342020.9300000002</v>
      </c>
      <c r="L83" s="12"/>
      <c r="M83" s="22"/>
      <c r="N83" s="22"/>
      <c r="O83" s="22"/>
      <c r="P83" s="22"/>
      <c r="Q83" s="12"/>
      <c r="R83" s="9"/>
      <c r="S83" s="9"/>
      <c r="T83" s="108"/>
      <c r="U83" s="108"/>
      <c r="V83" s="3">
        <v>124000</v>
      </c>
      <c r="W83" s="600">
        <v>34427.699999999997</v>
      </c>
      <c r="X83" s="21"/>
      <c r="Y83" s="21"/>
      <c r="Z83" s="9">
        <f t="shared" si="33"/>
        <v>2500448.63</v>
      </c>
      <c r="AA83" s="21"/>
      <c r="AB83" s="24"/>
      <c r="AC83" s="18"/>
      <c r="AD83" s="18">
        <v>2023</v>
      </c>
      <c r="AE83" s="18">
        <v>2023</v>
      </c>
      <c r="AF83" s="25"/>
      <c r="AG83" s="91"/>
    </row>
    <row r="84" spans="1:33" s="26" customFormat="1" ht="24" customHeight="1">
      <c r="A84" s="18">
        <f t="shared" si="24"/>
        <v>64</v>
      </c>
      <c r="B84" s="77" t="s">
        <v>961</v>
      </c>
      <c r="C84" s="4">
        <f t="shared" si="23"/>
        <v>2500448.63</v>
      </c>
      <c r="D84" s="9"/>
      <c r="E84" s="21"/>
      <c r="F84" s="21"/>
      <c r="G84" s="12"/>
      <c r="H84" s="13"/>
      <c r="I84" s="13"/>
      <c r="J84" s="87">
        <v>1</v>
      </c>
      <c r="K84" s="7">
        <f t="shared" si="32"/>
        <v>2342020.9300000002</v>
      </c>
      <c r="L84" s="12"/>
      <c r="M84" s="22"/>
      <c r="N84" s="22"/>
      <c r="O84" s="22"/>
      <c r="P84" s="22"/>
      <c r="Q84" s="12"/>
      <c r="R84" s="9"/>
      <c r="S84" s="9"/>
      <c r="T84" s="108"/>
      <c r="U84" s="108"/>
      <c r="V84" s="3">
        <v>124000</v>
      </c>
      <c r="W84" s="600">
        <v>34427.699999999997</v>
      </c>
      <c r="X84" s="21"/>
      <c r="Y84" s="21"/>
      <c r="Z84" s="9">
        <f t="shared" si="33"/>
        <v>2500448.63</v>
      </c>
      <c r="AA84" s="21"/>
      <c r="AB84" s="24"/>
      <c r="AC84" s="18"/>
      <c r="AD84" s="18">
        <v>2023</v>
      </c>
      <c r="AE84" s="18">
        <v>2023</v>
      </c>
      <c r="AF84" s="25"/>
      <c r="AG84" s="91"/>
    </row>
    <row r="85" spans="1:33" s="26" customFormat="1" ht="24" customHeight="1">
      <c r="A85" s="18">
        <f t="shared" si="24"/>
        <v>65</v>
      </c>
      <c r="B85" s="77" t="s">
        <v>962</v>
      </c>
      <c r="C85" s="4">
        <f t="shared" si="23"/>
        <v>2500448.63</v>
      </c>
      <c r="D85" s="9"/>
      <c r="E85" s="21"/>
      <c r="F85" s="21"/>
      <c r="G85" s="12"/>
      <c r="H85" s="13"/>
      <c r="I85" s="13"/>
      <c r="J85" s="87">
        <v>1</v>
      </c>
      <c r="K85" s="7">
        <f t="shared" si="32"/>
        <v>2342020.9300000002</v>
      </c>
      <c r="L85" s="12"/>
      <c r="M85" s="22"/>
      <c r="N85" s="22"/>
      <c r="O85" s="22"/>
      <c r="P85" s="22"/>
      <c r="Q85" s="12"/>
      <c r="R85" s="9"/>
      <c r="S85" s="9"/>
      <c r="T85" s="108"/>
      <c r="U85" s="108"/>
      <c r="V85" s="3">
        <v>124000</v>
      </c>
      <c r="W85" s="600">
        <v>34427.699999999997</v>
      </c>
      <c r="X85" s="21"/>
      <c r="Y85" s="21"/>
      <c r="Z85" s="9">
        <f t="shared" si="33"/>
        <v>2500448.63</v>
      </c>
      <c r="AA85" s="21"/>
      <c r="AB85" s="24"/>
      <c r="AC85" s="18"/>
      <c r="AD85" s="18">
        <v>2023</v>
      </c>
      <c r="AE85" s="18">
        <v>2023</v>
      </c>
      <c r="AF85" s="25"/>
      <c r="AG85" s="91"/>
    </row>
    <row r="86" spans="1:33" s="26" customFormat="1" ht="24" customHeight="1">
      <c r="A86" s="18">
        <f t="shared" si="24"/>
        <v>66</v>
      </c>
      <c r="B86" s="77" t="s">
        <v>963</v>
      </c>
      <c r="C86" s="4">
        <f t="shared" si="23"/>
        <v>2500448.63</v>
      </c>
      <c r="D86" s="9"/>
      <c r="E86" s="21"/>
      <c r="F86" s="21"/>
      <c r="G86" s="12"/>
      <c r="H86" s="13"/>
      <c r="I86" s="13"/>
      <c r="J86" s="87">
        <v>1</v>
      </c>
      <c r="K86" s="7">
        <f t="shared" si="32"/>
        <v>2342020.9300000002</v>
      </c>
      <c r="L86" s="12"/>
      <c r="M86" s="22"/>
      <c r="N86" s="22"/>
      <c r="O86" s="22"/>
      <c r="P86" s="22"/>
      <c r="Q86" s="12"/>
      <c r="R86" s="9"/>
      <c r="S86" s="9"/>
      <c r="T86" s="108"/>
      <c r="U86" s="108"/>
      <c r="V86" s="3">
        <v>124000</v>
      </c>
      <c r="W86" s="600">
        <v>34427.699999999997</v>
      </c>
      <c r="X86" s="21"/>
      <c r="Y86" s="21"/>
      <c r="Z86" s="9">
        <f t="shared" si="33"/>
        <v>2500448.63</v>
      </c>
      <c r="AA86" s="21"/>
      <c r="AB86" s="24"/>
      <c r="AC86" s="18"/>
      <c r="AD86" s="18">
        <v>2023</v>
      </c>
      <c r="AE86" s="18">
        <v>2023</v>
      </c>
      <c r="AF86" s="25"/>
      <c r="AG86" s="91"/>
    </row>
    <row r="87" spans="1:33" s="26" customFormat="1" ht="24" customHeight="1">
      <c r="A87" s="18">
        <f t="shared" si="24"/>
        <v>67</v>
      </c>
      <c r="B87" s="77" t="s">
        <v>964</v>
      </c>
      <c r="C87" s="4">
        <f t="shared" si="23"/>
        <v>2500448.63</v>
      </c>
      <c r="D87" s="9"/>
      <c r="E87" s="21"/>
      <c r="F87" s="21"/>
      <c r="G87" s="12"/>
      <c r="H87" s="13"/>
      <c r="I87" s="13"/>
      <c r="J87" s="87">
        <v>1</v>
      </c>
      <c r="K87" s="7">
        <f t="shared" si="32"/>
        <v>2342020.9300000002</v>
      </c>
      <c r="L87" s="12"/>
      <c r="M87" s="22"/>
      <c r="N87" s="22"/>
      <c r="O87" s="22"/>
      <c r="P87" s="22"/>
      <c r="Q87" s="12"/>
      <c r="R87" s="9"/>
      <c r="S87" s="9"/>
      <c r="T87" s="108"/>
      <c r="U87" s="108"/>
      <c r="V87" s="3">
        <v>124000</v>
      </c>
      <c r="W87" s="600">
        <v>34427.699999999997</v>
      </c>
      <c r="X87" s="21"/>
      <c r="Y87" s="21"/>
      <c r="Z87" s="9">
        <f t="shared" si="33"/>
        <v>2500448.63</v>
      </c>
      <c r="AA87" s="21"/>
      <c r="AB87" s="24"/>
      <c r="AC87" s="18"/>
      <c r="AD87" s="18">
        <v>2023</v>
      </c>
      <c r="AE87" s="18">
        <v>2023</v>
      </c>
      <c r="AF87" s="25"/>
      <c r="AG87" s="91"/>
    </row>
    <row r="88" spans="1:33" s="26" customFormat="1" ht="24" customHeight="1">
      <c r="A88" s="18">
        <f t="shared" si="24"/>
        <v>68</v>
      </c>
      <c r="B88" s="77" t="s">
        <v>965</v>
      </c>
      <c r="C88" s="4">
        <f t="shared" si="23"/>
        <v>2500448.63</v>
      </c>
      <c r="D88" s="9"/>
      <c r="E88" s="21"/>
      <c r="F88" s="21"/>
      <c r="G88" s="12"/>
      <c r="H88" s="13"/>
      <c r="I88" s="13"/>
      <c r="J88" s="87">
        <v>1</v>
      </c>
      <c r="K88" s="7">
        <f t="shared" si="32"/>
        <v>2342020.9300000002</v>
      </c>
      <c r="L88" s="12"/>
      <c r="M88" s="22"/>
      <c r="N88" s="22"/>
      <c r="O88" s="22"/>
      <c r="P88" s="22"/>
      <c r="Q88" s="12"/>
      <c r="R88" s="9"/>
      <c r="S88" s="9"/>
      <c r="T88" s="108"/>
      <c r="U88" s="108"/>
      <c r="V88" s="3">
        <v>124000</v>
      </c>
      <c r="W88" s="600">
        <v>34427.699999999997</v>
      </c>
      <c r="X88" s="21"/>
      <c r="Y88" s="21"/>
      <c r="Z88" s="9">
        <f t="shared" si="33"/>
        <v>2500448.63</v>
      </c>
      <c r="AA88" s="21"/>
      <c r="AB88" s="24"/>
      <c r="AC88" s="18"/>
      <c r="AD88" s="18">
        <v>2023</v>
      </c>
      <c r="AE88" s="18">
        <v>2023</v>
      </c>
      <c r="AF88" s="25"/>
      <c r="AG88" s="91"/>
    </row>
    <row r="89" spans="1:33" s="26" customFormat="1" ht="24" customHeight="1">
      <c r="A89" s="18">
        <f t="shared" si="24"/>
        <v>69</v>
      </c>
      <c r="B89" s="77" t="s">
        <v>966</v>
      </c>
      <c r="C89" s="4">
        <f t="shared" si="23"/>
        <v>2500448.63</v>
      </c>
      <c r="D89" s="9"/>
      <c r="E89" s="21"/>
      <c r="F89" s="21"/>
      <c r="G89" s="12"/>
      <c r="H89" s="13"/>
      <c r="I89" s="13"/>
      <c r="J89" s="87">
        <v>1</v>
      </c>
      <c r="K89" s="7">
        <f t="shared" si="32"/>
        <v>2342020.9300000002</v>
      </c>
      <c r="L89" s="12"/>
      <c r="M89" s="22"/>
      <c r="N89" s="22"/>
      <c r="O89" s="22"/>
      <c r="P89" s="22"/>
      <c r="Q89" s="12"/>
      <c r="R89" s="9"/>
      <c r="S89" s="9"/>
      <c r="T89" s="108"/>
      <c r="U89" s="108"/>
      <c r="V89" s="3">
        <v>124000</v>
      </c>
      <c r="W89" s="600">
        <v>34427.699999999997</v>
      </c>
      <c r="X89" s="21"/>
      <c r="Y89" s="21"/>
      <c r="Z89" s="9">
        <f t="shared" si="33"/>
        <v>2500448.63</v>
      </c>
      <c r="AA89" s="21"/>
      <c r="AB89" s="24"/>
      <c r="AC89" s="18"/>
      <c r="AD89" s="18">
        <v>2023</v>
      </c>
      <c r="AE89" s="18">
        <v>2023</v>
      </c>
      <c r="AF89" s="25"/>
      <c r="AG89" s="91"/>
    </row>
    <row r="90" spans="1:33" s="26" customFormat="1" ht="24" customHeight="1">
      <c r="A90" s="18">
        <f t="shared" si="24"/>
        <v>70</v>
      </c>
      <c r="B90" s="77" t="s">
        <v>967</v>
      </c>
      <c r="C90" s="4">
        <f t="shared" si="23"/>
        <v>2500448.63</v>
      </c>
      <c r="D90" s="9"/>
      <c r="E90" s="21"/>
      <c r="F90" s="21"/>
      <c r="G90" s="12"/>
      <c r="H90" s="13"/>
      <c r="I90" s="13"/>
      <c r="J90" s="87">
        <v>1</v>
      </c>
      <c r="K90" s="7">
        <f>(2501151.24-V90)/101.5*100</f>
        <v>2342020.9300000002</v>
      </c>
      <c r="L90" s="12"/>
      <c r="M90" s="22"/>
      <c r="N90" s="22"/>
      <c r="O90" s="22"/>
      <c r="P90" s="22"/>
      <c r="Q90" s="12"/>
      <c r="R90" s="9"/>
      <c r="S90" s="9"/>
      <c r="T90" s="108"/>
      <c r="U90" s="108"/>
      <c r="V90" s="3">
        <v>124000</v>
      </c>
      <c r="W90" s="600">
        <v>34427.699999999997</v>
      </c>
      <c r="X90" s="21"/>
      <c r="Y90" s="21"/>
      <c r="Z90" s="9">
        <f t="shared" si="33"/>
        <v>2500448.63</v>
      </c>
      <c r="AA90" s="21"/>
      <c r="AB90" s="24"/>
      <c r="AC90" s="18"/>
      <c r="AD90" s="18">
        <v>2023</v>
      </c>
      <c r="AE90" s="18">
        <v>2023</v>
      </c>
      <c r="AF90" s="25"/>
      <c r="AG90" s="91"/>
    </row>
    <row r="91" spans="1:33" s="26" customFormat="1" ht="24" customHeight="1">
      <c r="A91" s="18">
        <f t="shared" si="24"/>
        <v>71</v>
      </c>
      <c r="B91" s="77" t="s">
        <v>968</v>
      </c>
      <c r="C91" s="4">
        <f t="shared" si="23"/>
        <v>2500448.63</v>
      </c>
      <c r="D91" s="9"/>
      <c r="E91" s="87"/>
      <c r="F91" s="21"/>
      <c r="G91" s="12"/>
      <c r="H91" s="13"/>
      <c r="I91" s="13"/>
      <c r="J91" s="87">
        <v>1</v>
      </c>
      <c r="K91" s="7">
        <f>(2501151.24-V91)/101.5*100</f>
        <v>2342020.9300000002</v>
      </c>
      <c r="L91" s="42"/>
      <c r="M91" s="43"/>
      <c r="N91" s="44"/>
      <c r="O91" s="44"/>
      <c r="P91" s="44"/>
      <c r="Q91" s="42"/>
      <c r="R91" s="45"/>
      <c r="S91" s="45"/>
      <c r="T91" s="142"/>
      <c r="U91" s="142"/>
      <c r="V91" s="3">
        <v>124000</v>
      </c>
      <c r="W91" s="746">
        <v>34427.699999999997</v>
      </c>
      <c r="X91" s="21"/>
      <c r="Y91" s="21"/>
      <c r="Z91" s="9">
        <f t="shared" si="33"/>
        <v>2500448.63</v>
      </c>
      <c r="AA91" s="21"/>
      <c r="AB91" s="24"/>
      <c r="AC91" s="18"/>
      <c r="AD91" s="18">
        <v>2023</v>
      </c>
      <c r="AE91" s="18">
        <v>2023</v>
      </c>
      <c r="AF91" s="25"/>
      <c r="AG91" s="91"/>
    </row>
    <row r="92" spans="1:33" s="26" customFormat="1" ht="24" customHeight="1">
      <c r="A92" s="18">
        <f t="shared" si="24"/>
        <v>72</v>
      </c>
      <c r="B92" s="77" t="s">
        <v>969</v>
      </c>
      <c r="C92" s="4">
        <f t="shared" si="23"/>
        <v>17549958.539999999</v>
      </c>
      <c r="D92" s="9"/>
      <c r="E92" s="87"/>
      <c r="F92" s="21"/>
      <c r="G92" s="12"/>
      <c r="H92" s="13"/>
      <c r="I92" s="13"/>
      <c r="J92" s="87">
        <v>1</v>
      </c>
      <c r="K92" s="7">
        <f>(2501151.24-124000)/101.5*100</f>
        <v>2342020.9300000002</v>
      </c>
      <c r="L92" s="12"/>
      <c r="M92" s="22"/>
      <c r="N92" s="22"/>
      <c r="O92" s="22"/>
      <c r="P92" s="22"/>
      <c r="Q92" s="12"/>
      <c r="R92" s="9">
        <f>ROUND(4395.8*3170.13,2)</f>
        <v>13935257.449999999</v>
      </c>
      <c r="S92" s="9"/>
      <c r="T92" s="108"/>
      <c r="U92" s="108"/>
      <c r="V92" s="3">
        <f>124000+905223.6</f>
        <v>1029223.6</v>
      </c>
      <c r="W92" s="746">
        <v>243456.56</v>
      </c>
      <c r="X92" s="21"/>
      <c r="Y92" s="21"/>
      <c r="Z92" s="9">
        <v>2500448.63</v>
      </c>
      <c r="AA92" s="21"/>
      <c r="AB92" s="24">
        <f>C92-Z92</f>
        <v>15049509.91</v>
      </c>
      <c r="AC92" s="18"/>
      <c r="AD92" s="18">
        <v>2023</v>
      </c>
      <c r="AE92" s="18">
        <v>2023</v>
      </c>
      <c r="AF92" s="25"/>
      <c r="AG92" s="91"/>
    </row>
    <row r="93" spans="1:33" s="26" customFormat="1" ht="24" customHeight="1">
      <c r="A93" s="18">
        <f t="shared" si="24"/>
        <v>73</v>
      </c>
      <c r="B93" s="77" t="s">
        <v>1192</v>
      </c>
      <c r="C93" s="4">
        <f t="shared" si="23"/>
        <v>1421448.78</v>
      </c>
      <c r="D93" s="9"/>
      <c r="E93" s="87">
        <v>1</v>
      </c>
      <c r="F93" s="9">
        <v>1197448.78</v>
      </c>
      <c r="G93" s="12"/>
      <c r="H93" s="13"/>
      <c r="I93" s="13"/>
      <c r="J93" s="18"/>
      <c r="K93" s="11"/>
      <c r="L93" s="12"/>
      <c r="M93" s="22"/>
      <c r="N93" s="22"/>
      <c r="O93" s="22"/>
      <c r="P93" s="22"/>
      <c r="Q93" s="12"/>
      <c r="R93" s="9"/>
      <c r="S93" s="9"/>
      <c r="T93" s="108"/>
      <c r="U93" s="108"/>
      <c r="V93" s="3">
        <v>224000</v>
      </c>
      <c r="W93" s="24"/>
      <c r="X93" s="21"/>
      <c r="Y93" s="21"/>
      <c r="Z93" s="9">
        <v>710724.39</v>
      </c>
      <c r="AA93" s="21"/>
      <c r="AB93" s="24">
        <f>C93-Z93</f>
        <v>710724.39</v>
      </c>
      <c r="AC93" s="18"/>
      <c r="AD93" s="18">
        <v>2022</v>
      </c>
      <c r="AE93" s="18">
        <v>2023</v>
      </c>
      <c r="AF93" s="25"/>
      <c r="AG93" s="91"/>
    </row>
    <row r="94" spans="1:33" s="26" customFormat="1" ht="24" customHeight="1">
      <c r="A94" s="18">
        <f t="shared" si="24"/>
        <v>74</v>
      </c>
      <c r="B94" s="77" t="s">
        <v>1193</v>
      </c>
      <c r="C94" s="4">
        <f t="shared" ref="C94" si="34">D94+F94+G94+H94+I94+K94+L94+M94+O94+P94+Q94+R94+S94+W94+V94+X94</f>
        <v>1833328.03</v>
      </c>
      <c r="D94" s="9"/>
      <c r="E94" s="87">
        <v>1</v>
      </c>
      <c r="F94" s="9">
        <v>1588616.85</v>
      </c>
      <c r="G94" s="12"/>
      <c r="H94" s="13"/>
      <c r="I94" s="13"/>
      <c r="J94" s="18"/>
      <c r="K94" s="11"/>
      <c r="L94" s="12"/>
      <c r="M94" s="22"/>
      <c r="N94" s="22"/>
      <c r="O94" s="22"/>
      <c r="P94" s="22"/>
      <c r="Q94" s="12"/>
      <c r="R94" s="9"/>
      <c r="S94" s="9"/>
      <c r="T94" s="108"/>
      <c r="U94" s="108"/>
      <c r="V94" s="3">
        <v>220640</v>
      </c>
      <c r="W94" s="24">
        <v>24071.18</v>
      </c>
      <c r="X94" s="21"/>
      <c r="Y94" s="21"/>
      <c r="Z94" s="9">
        <f>C94</f>
        <v>1833328.03</v>
      </c>
      <c r="AA94" s="21"/>
      <c r="AB94" s="24">
        <f>C94-Z94</f>
        <v>0</v>
      </c>
      <c r="AC94" s="18"/>
      <c r="AD94" s="18">
        <v>2023</v>
      </c>
      <c r="AE94" s="18">
        <v>2023</v>
      </c>
      <c r="AF94" s="25"/>
      <c r="AG94" s="91"/>
    </row>
    <row r="95" spans="1:33" s="26" customFormat="1" ht="24" customHeight="1">
      <c r="A95" s="18">
        <f t="shared" si="24"/>
        <v>75</v>
      </c>
      <c r="B95" s="77" t="s">
        <v>61</v>
      </c>
      <c r="C95" s="4">
        <f t="shared" si="23"/>
        <v>2500448.63</v>
      </c>
      <c r="D95" s="9"/>
      <c r="E95" s="87"/>
      <c r="F95" s="21"/>
      <c r="G95" s="12"/>
      <c r="H95" s="13"/>
      <c r="I95" s="13"/>
      <c r="J95" s="87">
        <v>1</v>
      </c>
      <c r="K95" s="7">
        <f t="shared" ref="K95:K119" si="35">(2501151.24-124000)/101.5*100</f>
        <v>2342020.9300000002</v>
      </c>
      <c r="L95" s="12"/>
      <c r="M95" s="22"/>
      <c r="N95" s="22"/>
      <c r="O95" s="22"/>
      <c r="P95" s="22"/>
      <c r="Q95" s="12"/>
      <c r="R95" s="9"/>
      <c r="S95" s="9"/>
      <c r="T95" s="108"/>
      <c r="U95" s="108"/>
      <c r="V95" s="3">
        <v>124000</v>
      </c>
      <c r="W95" s="746">
        <v>34427.699999999997</v>
      </c>
      <c r="X95" s="21"/>
      <c r="Y95" s="21"/>
      <c r="Z95" s="9">
        <f t="shared" ref="Z95:Z108" si="36">K95+V95+W95</f>
        <v>2500448.63</v>
      </c>
      <c r="AA95" s="21"/>
      <c r="AB95" s="24"/>
      <c r="AC95" s="18"/>
      <c r="AD95" s="18">
        <v>2023</v>
      </c>
      <c r="AE95" s="18">
        <v>2023</v>
      </c>
      <c r="AF95" s="25"/>
      <c r="AG95" s="91"/>
    </row>
    <row r="96" spans="1:33" s="26" customFormat="1" ht="24" customHeight="1">
      <c r="A96" s="18">
        <f t="shared" si="24"/>
        <v>76</v>
      </c>
      <c r="B96" s="77" t="s">
        <v>62</v>
      </c>
      <c r="C96" s="4">
        <f t="shared" si="23"/>
        <v>2500448.63</v>
      </c>
      <c r="D96" s="9"/>
      <c r="E96" s="87"/>
      <c r="F96" s="21"/>
      <c r="G96" s="12"/>
      <c r="H96" s="13"/>
      <c r="I96" s="13"/>
      <c r="J96" s="87">
        <v>1</v>
      </c>
      <c r="K96" s="7">
        <f t="shared" si="35"/>
        <v>2342020.9300000002</v>
      </c>
      <c r="L96" s="12"/>
      <c r="M96" s="22"/>
      <c r="N96" s="22"/>
      <c r="O96" s="22"/>
      <c r="P96" s="22"/>
      <c r="Q96" s="12"/>
      <c r="R96" s="9"/>
      <c r="S96" s="9"/>
      <c r="T96" s="108"/>
      <c r="U96" s="108"/>
      <c r="V96" s="3">
        <v>124000</v>
      </c>
      <c r="W96" s="746">
        <v>34427.699999999997</v>
      </c>
      <c r="X96" s="21"/>
      <c r="Y96" s="21"/>
      <c r="Z96" s="9">
        <f t="shared" si="36"/>
        <v>2500448.63</v>
      </c>
      <c r="AA96" s="21"/>
      <c r="AB96" s="24"/>
      <c r="AC96" s="18"/>
      <c r="AD96" s="18">
        <v>2023</v>
      </c>
      <c r="AE96" s="18">
        <v>2023</v>
      </c>
      <c r="AF96" s="25"/>
      <c r="AG96" s="91"/>
    </row>
    <row r="97" spans="1:33" s="26" customFormat="1" ht="24" customHeight="1">
      <c r="A97" s="18">
        <f t="shared" si="24"/>
        <v>77</v>
      </c>
      <c r="B97" s="77" t="s">
        <v>63</v>
      </c>
      <c r="C97" s="4">
        <f t="shared" si="23"/>
        <v>2500448.63</v>
      </c>
      <c r="D97" s="9"/>
      <c r="E97" s="21"/>
      <c r="F97" s="21"/>
      <c r="G97" s="12"/>
      <c r="H97" s="13"/>
      <c r="I97" s="13"/>
      <c r="J97" s="87">
        <v>1</v>
      </c>
      <c r="K97" s="7">
        <f t="shared" si="35"/>
        <v>2342020.9300000002</v>
      </c>
      <c r="L97" s="12"/>
      <c r="M97" s="22"/>
      <c r="N97" s="22"/>
      <c r="O97" s="22"/>
      <c r="P97" s="22"/>
      <c r="Q97" s="12"/>
      <c r="R97" s="9"/>
      <c r="S97" s="9"/>
      <c r="T97" s="108"/>
      <c r="U97" s="108"/>
      <c r="V97" s="3">
        <v>124000</v>
      </c>
      <c r="W97" s="746">
        <v>34427.699999999997</v>
      </c>
      <c r="X97" s="21"/>
      <c r="Y97" s="21"/>
      <c r="Z97" s="9">
        <f t="shared" si="36"/>
        <v>2500448.63</v>
      </c>
      <c r="AA97" s="21"/>
      <c r="AB97" s="24"/>
      <c r="AC97" s="18"/>
      <c r="AD97" s="18">
        <v>2023</v>
      </c>
      <c r="AE97" s="18">
        <v>2023</v>
      </c>
      <c r="AF97" s="25"/>
      <c r="AG97" s="91"/>
    </row>
    <row r="98" spans="1:33" s="26" customFormat="1" ht="24" customHeight="1">
      <c r="A98" s="18">
        <f t="shared" si="24"/>
        <v>78</v>
      </c>
      <c r="B98" s="77" t="s">
        <v>64</v>
      </c>
      <c r="C98" s="4">
        <f t="shared" si="23"/>
        <v>2500448.63</v>
      </c>
      <c r="D98" s="9"/>
      <c r="E98" s="21"/>
      <c r="F98" s="21"/>
      <c r="G98" s="12"/>
      <c r="H98" s="13"/>
      <c r="I98" s="13"/>
      <c r="J98" s="87">
        <v>1</v>
      </c>
      <c r="K98" s="7">
        <f t="shared" si="35"/>
        <v>2342020.9300000002</v>
      </c>
      <c r="L98" s="12"/>
      <c r="M98" s="22"/>
      <c r="N98" s="22"/>
      <c r="O98" s="22"/>
      <c r="P98" s="22"/>
      <c r="Q98" s="12"/>
      <c r="R98" s="9"/>
      <c r="S98" s="9"/>
      <c r="T98" s="108"/>
      <c r="U98" s="108"/>
      <c r="V98" s="3">
        <v>124000</v>
      </c>
      <c r="W98" s="746">
        <v>34427.699999999997</v>
      </c>
      <c r="X98" s="21"/>
      <c r="Y98" s="21"/>
      <c r="Z98" s="9">
        <f t="shared" si="36"/>
        <v>2500448.63</v>
      </c>
      <c r="AA98" s="21"/>
      <c r="AB98" s="24"/>
      <c r="AC98" s="18"/>
      <c r="AD98" s="18">
        <v>2023</v>
      </c>
      <c r="AE98" s="18">
        <v>2023</v>
      </c>
      <c r="AF98" s="25"/>
      <c r="AG98" s="91"/>
    </row>
    <row r="99" spans="1:33" s="26" customFormat="1" ht="24" customHeight="1">
      <c r="A99" s="18">
        <f t="shared" si="24"/>
        <v>79</v>
      </c>
      <c r="B99" s="77" t="s">
        <v>65</v>
      </c>
      <c r="C99" s="4">
        <f t="shared" si="23"/>
        <v>2500448.63</v>
      </c>
      <c r="D99" s="9"/>
      <c r="E99" s="21"/>
      <c r="F99" s="21"/>
      <c r="G99" s="12"/>
      <c r="H99" s="13"/>
      <c r="I99" s="13"/>
      <c r="J99" s="87">
        <v>1</v>
      </c>
      <c r="K99" s="7">
        <f t="shared" si="35"/>
        <v>2342020.9300000002</v>
      </c>
      <c r="L99" s="12"/>
      <c r="M99" s="22"/>
      <c r="N99" s="22"/>
      <c r="O99" s="22"/>
      <c r="P99" s="22"/>
      <c r="Q99" s="12"/>
      <c r="R99" s="9"/>
      <c r="S99" s="9"/>
      <c r="T99" s="108"/>
      <c r="U99" s="108"/>
      <c r="V99" s="3">
        <v>124000</v>
      </c>
      <c r="W99" s="746">
        <v>34427.699999999997</v>
      </c>
      <c r="X99" s="21"/>
      <c r="Y99" s="21"/>
      <c r="Z99" s="9">
        <f t="shared" si="36"/>
        <v>2500448.63</v>
      </c>
      <c r="AA99" s="21"/>
      <c r="AB99" s="24"/>
      <c r="AC99" s="18"/>
      <c r="AD99" s="18">
        <v>2023</v>
      </c>
      <c r="AE99" s="18">
        <v>2023</v>
      </c>
      <c r="AF99" s="25"/>
      <c r="AG99" s="91"/>
    </row>
    <row r="100" spans="1:33" s="26" customFormat="1" ht="24" customHeight="1">
      <c r="A100" s="18">
        <f t="shared" si="24"/>
        <v>80</v>
      </c>
      <c r="B100" s="77" t="s">
        <v>66</v>
      </c>
      <c r="C100" s="4">
        <f t="shared" si="23"/>
        <v>2500448.63</v>
      </c>
      <c r="D100" s="9"/>
      <c r="E100" s="21"/>
      <c r="F100" s="21"/>
      <c r="G100" s="12"/>
      <c r="H100" s="13"/>
      <c r="I100" s="13"/>
      <c r="J100" s="87">
        <v>1</v>
      </c>
      <c r="K100" s="7">
        <f t="shared" si="35"/>
        <v>2342020.9300000002</v>
      </c>
      <c r="L100" s="12"/>
      <c r="M100" s="22"/>
      <c r="N100" s="22"/>
      <c r="O100" s="22"/>
      <c r="P100" s="22"/>
      <c r="Q100" s="12"/>
      <c r="R100" s="9"/>
      <c r="S100" s="9"/>
      <c r="T100" s="108"/>
      <c r="U100" s="108"/>
      <c r="V100" s="3">
        <v>124000</v>
      </c>
      <c r="W100" s="746">
        <v>34427.699999999997</v>
      </c>
      <c r="X100" s="21"/>
      <c r="Y100" s="21"/>
      <c r="Z100" s="9">
        <f t="shared" si="36"/>
        <v>2500448.63</v>
      </c>
      <c r="AA100" s="21"/>
      <c r="AB100" s="24"/>
      <c r="AC100" s="18"/>
      <c r="AD100" s="18">
        <v>2023</v>
      </c>
      <c r="AE100" s="18">
        <v>2023</v>
      </c>
      <c r="AF100" s="25"/>
      <c r="AG100" s="91"/>
    </row>
    <row r="101" spans="1:33" s="26" customFormat="1" ht="24" customHeight="1">
      <c r="A101" s="18">
        <f t="shared" si="24"/>
        <v>81</v>
      </c>
      <c r="B101" s="77" t="s">
        <v>67</v>
      </c>
      <c r="C101" s="4">
        <f t="shared" si="23"/>
        <v>2500448.63</v>
      </c>
      <c r="D101" s="9"/>
      <c r="E101" s="21"/>
      <c r="F101" s="21"/>
      <c r="G101" s="12"/>
      <c r="H101" s="13"/>
      <c r="I101" s="13"/>
      <c r="J101" s="87">
        <v>1</v>
      </c>
      <c r="K101" s="7">
        <f t="shared" si="35"/>
        <v>2342020.9300000002</v>
      </c>
      <c r="L101" s="12"/>
      <c r="M101" s="22"/>
      <c r="N101" s="22"/>
      <c r="O101" s="22"/>
      <c r="P101" s="22"/>
      <c r="Q101" s="12"/>
      <c r="R101" s="9"/>
      <c r="S101" s="9"/>
      <c r="T101" s="108"/>
      <c r="U101" s="108"/>
      <c r="V101" s="3">
        <v>124000</v>
      </c>
      <c r="W101" s="746">
        <v>34427.699999999997</v>
      </c>
      <c r="X101" s="21"/>
      <c r="Y101" s="21"/>
      <c r="Z101" s="9">
        <f t="shared" si="36"/>
        <v>2500448.63</v>
      </c>
      <c r="AA101" s="21"/>
      <c r="AB101" s="24"/>
      <c r="AC101" s="18"/>
      <c r="AD101" s="18">
        <v>2023</v>
      </c>
      <c r="AE101" s="18">
        <v>2023</v>
      </c>
      <c r="AF101" s="25"/>
      <c r="AG101" s="91"/>
    </row>
    <row r="102" spans="1:33" s="26" customFormat="1" ht="24" customHeight="1">
      <c r="A102" s="18">
        <f t="shared" si="24"/>
        <v>82</v>
      </c>
      <c r="B102" s="77" t="s">
        <v>68</v>
      </c>
      <c r="C102" s="4">
        <f t="shared" si="23"/>
        <v>2500448.63</v>
      </c>
      <c r="D102" s="9"/>
      <c r="E102" s="21"/>
      <c r="F102" s="21"/>
      <c r="G102" s="12"/>
      <c r="H102" s="13"/>
      <c r="I102" s="13"/>
      <c r="J102" s="87">
        <v>1</v>
      </c>
      <c r="K102" s="7">
        <f t="shared" si="35"/>
        <v>2342020.9300000002</v>
      </c>
      <c r="L102" s="12"/>
      <c r="M102" s="22"/>
      <c r="N102" s="22"/>
      <c r="O102" s="22"/>
      <c r="P102" s="22"/>
      <c r="Q102" s="12"/>
      <c r="R102" s="9"/>
      <c r="S102" s="9"/>
      <c r="T102" s="108"/>
      <c r="U102" s="108"/>
      <c r="V102" s="3">
        <v>124000</v>
      </c>
      <c r="W102" s="746">
        <v>34427.699999999997</v>
      </c>
      <c r="X102" s="21"/>
      <c r="Y102" s="21"/>
      <c r="Z102" s="9">
        <f t="shared" si="36"/>
        <v>2500448.63</v>
      </c>
      <c r="AA102" s="21"/>
      <c r="AB102" s="24"/>
      <c r="AC102" s="18"/>
      <c r="AD102" s="18">
        <v>2023</v>
      </c>
      <c r="AE102" s="18">
        <v>2023</v>
      </c>
      <c r="AF102" s="25"/>
      <c r="AG102" s="91"/>
    </row>
    <row r="103" spans="1:33" s="26" customFormat="1" ht="24" customHeight="1">
      <c r="A103" s="18">
        <f t="shared" si="24"/>
        <v>83</v>
      </c>
      <c r="B103" s="77" t="s">
        <v>69</v>
      </c>
      <c r="C103" s="4">
        <f t="shared" si="23"/>
        <v>2500448.63</v>
      </c>
      <c r="D103" s="9"/>
      <c r="E103" s="21"/>
      <c r="F103" s="21"/>
      <c r="G103" s="12"/>
      <c r="H103" s="13"/>
      <c r="I103" s="13"/>
      <c r="J103" s="87">
        <v>1</v>
      </c>
      <c r="K103" s="7">
        <f t="shared" si="35"/>
        <v>2342020.9300000002</v>
      </c>
      <c r="L103" s="12"/>
      <c r="M103" s="22"/>
      <c r="N103" s="22"/>
      <c r="O103" s="22"/>
      <c r="P103" s="22"/>
      <c r="Q103" s="12"/>
      <c r="R103" s="9"/>
      <c r="S103" s="9"/>
      <c r="T103" s="108"/>
      <c r="U103" s="108"/>
      <c r="V103" s="3">
        <v>124000</v>
      </c>
      <c r="W103" s="746">
        <v>34427.699999999997</v>
      </c>
      <c r="X103" s="21"/>
      <c r="Y103" s="21"/>
      <c r="Z103" s="9">
        <f t="shared" si="36"/>
        <v>2500448.63</v>
      </c>
      <c r="AA103" s="21"/>
      <c r="AB103" s="24"/>
      <c r="AC103" s="18"/>
      <c r="AD103" s="18">
        <v>2023</v>
      </c>
      <c r="AE103" s="18">
        <v>2023</v>
      </c>
      <c r="AF103" s="25"/>
      <c r="AG103" s="91"/>
    </row>
    <row r="104" spans="1:33" s="26" customFormat="1" ht="24" customHeight="1">
      <c r="A104" s="18">
        <f t="shared" si="24"/>
        <v>84</v>
      </c>
      <c r="B104" s="77" t="s">
        <v>70</v>
      </c>
      <c r="C104" s="4">
        <f t="shared" si="23"/>
        <v>2500448.63</v>
      </c>
      <c r="D104" s="9"/>
      <c r="E104" s="21"/>
      <c r="F104" s="21"/>
      <c r="G104" s="12"/>
      <c r="H104" s="13"/>
      <c r="I104" s="13"/>
      <c r="J104" s="87">
        <v>1</v>
      </c>
      <c r="K104" s="7">
        <f t="shared" si="35"/>
        <v>2342020.9300000002</v>
      </c>
      <c r="L104" s="12"/>
      <c r="M104" s="22"/>
      <c r="N104" s="22"/>
      <c r="O104" s="22"/>
      <c r="P104" s="22"/>
      <c r="Q104" s="12"/>
      <c r="R104" s="9"/>
      <c r="S104" s="9"/>
      <c r="T104" s="108"/>
      <c r="U104" s="108"/>
      <c r="V104" s="3">
        <v>124000</v>
      </c>
      <c r="W104" s="746">
        <v>34427.699999999997</v>
      </c>
      <c r="X104" s="21"/>
      <c r="Y104" s="21"/>
      <c r="Z104" s="9">
        <f t="shared" si="36"/>
        <v>2500448.63</v>
      </c>
      <c r="AA104" s="21"/>
      <c r="AB104" s="24"/>
      <c r="AC104" s="18"/>
      <c r="AD104" s="18">
        <v>2023</v>
      </c>
      <c r="AE104" s="18">
        <v>2023</v>
      </c>
      <c r="AF104" s="25"/>
      <c r="AG104" s="91"/>
    </row>
    <row r="105" spans="1:33" s="26" customFormat="1" ht="24" customHeight="1">
      <c r="A105" s="18">
        <f t="shared" si="24"/>
        <v>85</v>
      </c>
      <c r="B105" s="77" t="s">
        <v>71</v>
      </c>
      <c r="C105" s="4">
        <f t="shared" si="23"/>
        <v>2500448.63</v>
      </c>
      <c r="D105" s="9"/>
      <c r="E105" s="21"/>
      <c r="F105" s="21"/>
      <c r="G105" s="12"/>
      <c r="H105" s="13"/>
      <c r="I105" s="13"/>
      <c r="J105" s="87">
        <v>1</v>
      </c>
      <c r="K105" s="7">
        <f t="shared" si="35"/>
        <v>2342020.9300000002</v>
      </c>
      <c r="L105" s="12"/>
      <c r="M105" s="22"/>
      <c r="N105" s="22"/>
      <c r="O105" s="22"/>
      <c r="P105" s="22"/>
      <c r="Q105" s="12"/>
      <c r="R105" s="9"/>
      <c r="S105" s="9"/>
      <c r="T105" s="108"/>
      <c r="U105" s="108"/>
      <c r="V105" s="3">
        <v>124000</v>
      </c>
      <c r="W105" s="746">
        <v>34427.699999999997</v>
      </c>
      <c r="X105" s="21"/>
      <c r="Y105" s="21"/>
      <c r="Z105" s="9">
        <f t="shared" si="36"/>
        <v>2500448.63</v>
      </c>
      <c r="AA105" s="21"/>
      <c r="AB105" s="24"/>
      <c r="AC105" s="18"/>
      <c r="AD105" s="18">
        <v>2023</v>
      </c>
      <c r="AE105" s="18">
        <v>2023</v>
      </c>
      <c r="AF105" s="25"/>
      <c r="AG105" s="91"/>
    </row>
    <row r="106" spans="1:33" s="26" customFormat="1" ht="24" customHeight="1">
      <c r="A106" s="18">
        <f t="shared" si="24"/>
        <v>86</v>
      </c>
      <c r="B106" s="77" t="s">
        <v>72</v>
      </c>
      <c r="C106" s="4">
        <f t="shared" si="23"/>
        <v>2500448.63</v>
      </c>
      <c r="D106" s="9"/>
      <c r="E106" s="21"/>
      <c r="F106" s="21"/>
      <c r="G106" s="12"/>
      <c r="H106" s="13"/>
      <c r="I106" s="13"/>
      <c r="J106" s="87">
        <v>1</v>
      </c>
      <c r="K106" s="7">
        <f t="shared" si="35"/>
        <v>2342020.9300000002</v>
      </c>
      <c r="L106" s="12"/>
      <c r="M106" s="22"/>
      <c r="N106" s="22"/>
      <c r="O106" s="22"/>
      <c r="P106" s="22"/>
      <c r="Q106" s="12"/>
      <c r="R106" s="9"/>
      <c r="S106" s="9"/>
      <c r="T106" s="108"/>
      <c r="U106" s="108"/>
      <c r="V106" s="3">
        <v>124000</v>
      </c>
      <c r="W106" s="746">
        <v>34427.699999999997</v>
      </c>
      <c r="X106" s="87"/>
      <c r="Y106" s="87"/>
      <c r="Z106" s="725">
        <f t="shared" si="36"/>
        <v>2500448.63</v>
      </c>
      <c r="AA106" s="87"/>
      <c r="AB106" s="86"/>
      <c r="AC106" s="18"/>
      <c r="AD106" s="18">
        <v>2023</v>
      </c>
      <c r="AE106" s="18">
        <v>2023</v>
      </c>
      <c r="AF106" s="25"/>
      <c r="AG106" s="91"/>
    </row>
    <row r="107" spans="1:33" s="26" customFormat="1" ht="24" customHeight="1">
      <c r="A107" s="18">
        <f t="shared" si="24"/>
        <v>87</v>
      </c>
      <c r="B107" s="77" t="s">
        <v>73</v>
      </c>
      <c r="C107" s="4">
        <f t="shared" si="23"/>
        <v>2500448.63</v>
      </c>
      <c r="D107" s="9"/>
      <c r="E107" s="21"/>
      <c r="F107" s="21"/>
      <c r="G107" s="12"/>
      <c r="H107" s="13"/>
      <c r="I107" s="13"/>
      <c r="J107" s="87">
        <v>1</v>
      </c>
      <c r="K107" s="7">
        <f t="shared" si="35"/>
        <v>2342020.9300000002</v>
      </c>
      <c r="L107" s="12"/>
      <c r="M107" s="22"/>
      <c r="N107" s="204"/>
      <c r="O107" s="22"/>
      <c r="P107" s="22"/>
      <c r="Q107" s="12"/>
      <c r="R107" s="9"/>
      <c r="S107" s="9"/>
      <c r="T107" s="108"/>
      <c r="U107" s="108"/>
      <c r="V107" s="3">
        <v>124000</v>
      </c>
      <c r="W107" s="746">
        <v>34427.699999999997</v>
      </c>
      <c r="X107" s="87"/>
      <c r="Y107" s="87"/>
      <c r="Z107" s="725">
        <f t="shared" si="36"/>
        <v>2500448.63</v>
      </c>
      <c r="AA107" s="87"/>
      <c r="AB107" s="86"/>
      <c r="AC107" s="18"/>
      <c r="AD107" s="18">
        <v>2023</v>
      </c>
      <c r="AE107" s="18">
        <v>2023</v>
      </c>
      <c r="AF107" s="25"/>
      <c r="AG107" s="91"/>
    </row>
    <row r="108" spans="1:33" s="26" customFormat="1" ht="24" customHeight="1">
      <c r="A108" s="18">
        <f t="shared" si="24"/>
        <v>88</v>
      </c>
      <c r="B108" s="77" t="s">
        <v>1194</v>
      </c>
      <c r="C108" s="4">
        <f t="shared" si="23"/>
        <v>2500448.63</v>
      </c>
      <c r="D108" s="9"/>
      <c r="E108" s="21"/>
      <c r="F108" s="21"/>
      <c r="G108" s="12"/>
      <c r="H108" s="13"/>
      <c r="I108" s="13"/>
      <c r="J108" s="87">
        <v>1</v>
      </c>
      <c r="K108" s="7">
        <f t="shared" si="35"/>
        <v>2342020.9300000002</v>
      </c>
      <c r="L108" s="12"/>
      <c r="M108" s="22"/>
      <c r="N108" s="204"/>
      <c r="O108" s="204"/>
      <c r="P108" s="204"/>
      <c r="Q108" s="727"/>
      <c r="R108" s="725"/>
      <c r="S108" s="725"/>
      <c r="T108" s="108"/>
      <c r="U108" s="108"/>
      <c r="V108" s="3">
        <v>124000</v>
      </c>
      <c r="W108" s="746">
        <v>34427.699999999997</v>
      </c>
      <c r="X108" s="87"/>
      <c r="Y108" s="87"/>
      <c r="Z108" s="725">
        <f t="shared" si="36"/>
        <v>2500448.63</v>
      </c>
      <c r="AA108" s="87"/>
      <c r="AB108" s="86"/>
      <c r="AC108" s="18"/>
      <c r="AD108" s="18">
        <v>2023</v>
      </c>
      <c r="AE108" s="18">
        <v>2023</v>
      </c>
      <c r="AF108" s="25"/>
      <c r="AG108" s="91"/>
    </row>
    <row r="109" spans="1:33" s="26" customFormat="1" ht="24" customHeight="1">
      <c r="A109" s="18">
        <f t="shared" si="24"/>
        <v>89</v>
      </c>
      <c r="B109" s="61" t="s">
        <v>410</v>
      </c>
      <c r="C109" s="724">
        <f t="shared" ref="C109:C114" si="37">SUM(D109:X109)-(E109+J109+N109)</f>
        <v>3159313.72</v>
      </c>
      <c r="D109" s="78"/>
      <c r="E109" s="84"/>
      <c r="F109" s="78"/>
      <c r="G109" s="78"/>
      <c r="H109" s="78"/>
      <c r="I109" s="78"/>
      <c r="J109" s="742"/>
      <c r="K109" s="78"/>
      <c r="L109" s="78"/>
      <c r="M109" s="78"/>
      <c r="N109" s="878">
        <v>1</v>
      </c>
      <c r="O109" s="600">
        <f>3037801.66*N109</f>
        <v>3037801.66</v>
      </c>
      <c r="P109" s="600"/>
      <c r="Q109" s="600"/>
      <c r="R109" s="600"/>
      <c r="S109" s="600"/>
      <c r="T109" s="135"/>
      <c r="U109" s="135"/>
      <c r="V109" s="600">
        <f t="shared" ref="V109:V114" si="38">75945.04*N109</f>
        <v>75945.039999999994</v>
      </c>
      <c r="W109" s="746">
        <f>O109*1.5/100</f>
        <v>45567.02</v>
      </c>
      <c r="X109" s="600"/>
      <c r="Y109" s="743"/>
      <c r="Z109" s="600"/>
      <c r="AA109" s="743"/>
      <c r="AB109" s="724">
        <f>SUM(O109+V109+W109)</f>
        <v>3159313.72</v>
      </c>
      <c r="AC109" s="18"/>
      <c r="AD109" s="18">
        <v>2023</v>
      </c>
      <c r="AE109" s="18">
        <v>2024</v>
      </c>
      <c r="AF109" s="25"/>
      <c r="AG109" s="91"/>
    </row>
    <row r="110" spans="1:33" s="26" customFormat="1" ht="24" customHeight="1">
      <c r="A110" s="18">
        <f t="shared" si="24"/>
        <v>90</v>
      </c>
      <c r="B110" s="61" t="s">
        <v>411</v>
      </c>
      <c r="C110" s="724">
        <f t="shared" si="37"/>
        <v>6318627.4500000002</v>
      </c>
      <c r="D110" s="78"/>
      <c r="E110" s="84"/>
      <c r="F110" s="78"/>
      <c r="G110" s="78"/>
      <c r="H110" s="78"/>
      <c r="I110" s="78"/>
      <c r="J110" s="742"/>
      <c r="K110" s="78"/>
      <c r="L110" s="78"/>
      <c r="M110" s="78"/>
      <c r="N110" s="878">
        <v>2</v>
      </c>
      <c r="O110" s="600">
        <f>3037801.66*N110</f>
        <v>6075603.3200000003</v>
      </c>
      <c r="P110" s="600"/>
      <c r="Q110" s="600"/>
      <c r="R110" s="600"/>
      <c r="S110" s="600"/>
      <c r="T110" s="135"/>
      <c r="U110" s="135"/>
      <c r="V110" s="600">
        <f t="shared" si="38"/>
        <v>151890.07999999999</v>
      </c>
      <c r="W110" s="746">
        <f t="shared" ref="W110:W114" si="39">O110*1.5/100</f>
        <v>91134.05</v>
      </c>
      <c r="X110" s="600"/>
      <c r="Y110" s="743"/>
      <c r="Z110" s="600"/>
      <c r="AA110" s="743"/>
      <c r="AB110" s="724">
        <f t="shared" ref="AB110:AB114" si="40">SUM(O110+V110+W110)</f>
        <v>6318627.4500000002</v>
      </c>
      <c r="AC110" s="18"/>
      <c r="AD110" s="18">
        <v>2023</v>
      </c>
      <c r="AE110" s="18">
        <v>2024</v>
      </c>
      <c r="AF110" s="25"/>
      <c r="AG110" s="91"/>
    </row>
    <row r="111" spans="1:33" s="26" customFormat="1" ht="24" customHeight="1">
      <c r="A111" s="18">
        <f t="shared" si="24"/>
        <v>91</v>
      </c>
      <c r="B111" s="61" t="s">
        <v>412</v>
      </c>
      <c r="C111" s="724">
        <f t="shared" si="37"/>
        <v>18955882.350000001</v>
      </c>
      <c r="D111" s="78"/>
      <c r="E111" s="84"/>
      <c r="F111" s="78"/>
      <c r="G111" s="78"/>
      <c r="H111" s="78"/>
      <c r="I111" s="78"/>
      <c r="J111" s="742"/>
      <c r="K111" s="78"/>
      <c r="L111" s="78"/>
      <c r="M111" s="78"/>
      <c r="N111" s="878">
        <v>6</v>
      </c>
      <c r="O111" s="600">
        <f>3037801.66*N111</f>
        <v>18226809.960000001</v>
      </c>
      <c r="P111" s="600"/>
      <c r="Q111" s="600"/>
      <c r="R111" s="600"/>
      <c r="S111" s="600"/>
      <c r="T111" s="135"/>
      <c r="U111" s="135"/>
      <c r="V111" s="600">
        <f t="shared" si="38"/>
        <v>455670.24</v>
      </c>
      <c r="W111" s="746">
        <f t="shared" si="39"/>
        <v>273402.15000000002</v>
      </c>
      <c r="X111" s="600"/>
      <c r="Y111" s="743"/>
      <c r="Z111" s="600"/>
      <c r="AA111" s="743"/>
      <c r="AB111" s="724">
        <f t="shared" si="40"/>
        <v>18955882.350000001</v>
      </c>
      <c r="AC111" s="18"/>
      <c r="AD111" s="18">
        <v>2023</v>
      </c>
      <c r="AE111" s="18">
        <v>2024</v>
      </c>
      <c r="AF111" s="25"/>
      <c r="AG111" s="91"/>
    </row>
    <row r="112" spans="1:33" s="26" customFormat="1" ht="24" customHeight="1">
      <c r="A112" s="18">
        <f t="shared" si="24"/>
        <v>92</v>
      </c>
      <c r="B112" s="61" t="s">
        <v>413</v>
      </c>
      <c r="C112" s="724">
        <f t="shared" si="37"/>
        <v>2974318.29</v>
      </c>
      <c r="D112" s="78"/>
      <c r="E112" s="84"/>
      <c r="F112" s="78"/>
      <c r="G112" s="78"/>
      <c r="H112" s="78"/>
      <c r="I112" s="78"/>
      <c r="J112" s="742"/>
      <c r="K112" s="78"/>
      <c r="L112" s="78"/>
      <c r="M112" s="78"/>
      <c r="N112" s="878">
        <v>1</v>
      </c>
      <c r="O112" s="600">
        <f>2855540.15*N112</f>
        <v>2855540.15</v>
      </c>
      <c r="P112" s="600"/>
      <c r="Q112" s="600"/>
      <c r="R112" s="600"/>
      <c r="S112" s="600"/>
      <c r="T112" s="135"/>
      <c r="U112" s="135"/>
      <c r="V112" s="600">
        <f t="shared" si="38"/>
        <v>75945.039999999994</v>
      </c>
      <c r="W112" s="746">
        <f t="shared" si="39"/>
        <v>42833.1</v>
      </c>
      <c r="X112" s="600"/>
      <c r="Y112" s="743"/>
      <c r="Z112" s="600"/>
      <c r="AA112" s="743"/>
      <c r="AB112" s="724">
        <f t="shared" si="40"/>
        <v>2974318.29</v>
      </c>
      <c r="AC112" s="18"/>
      <c r="AD112" s="18">
        <v>2023</v>
      </c>
      <c r="AE112" s="18">
        <v>2024</v>
      </c>
      <c r="AF112" s="25"/>
      <c r="AG112" s="91"/>
    </row>
    <row r="113" spans="1:33" s="26" customFormat="1" ht="24" customHeight="1">
      <c r="A113" s="18">
        <f t="shared" si="24"/>
        <v>93</v>
      </c>
      <c r="B113" s="61" t="s">
        <v>414</v>
      </c>
      <c r="C113" s="724">
        <f t="shared" si="37"/>
        <v>6318627.4500000002</v>
      </c>
      <c r="D113" s="78"/>
      <c r="E113" s="84"/>
      <c r="F113" s="78"/>
      <c r="G113" s="78"/>
      <c r="H113" s="78"/>
      <c r="I113" s="78"/>
      <c r="J113" s="742"/>
      <c r="K113" s="78"/>
      <c r="L113" s="78"/>
      <c r="M113" s="78"/>
      <c r="N113" s="878">
        <v>2</v>
      </c>
      <c r="O113" s="600">
        <f>3037801.66*N113</f>
        <v>6075603.3200000003</v>
      </c>
      <c r="P113" s="600"/>
      <c r="Q113" s="600"/>
      <c r="R113" s="600"/>
      <c r="S113" s="600"/>
      <c r="T113" s="135"/>
      <c r="U113" s="135"/>
      <c r="V113" s="600">
        <f t="shared" si="38"/>
        <v>151890.07999999999</v>
      </c>
      <c r="W113" s="746">
        <f t="shared" si="39"/>
        <v>91134.05</v>
      </c>
      <c r="X113" s="600"/>
      <c r="Y113" s="743"/>
      <c r="Z113" s="600"/>
      <c r="AA113" s="743"/>
      <c r="AB113" s="724">
        <f t="shared" si="40"/>
        <v>6318627.4500000002</v>
      </c>
      <c r="AC113" s="18"/>
      <c r="AD113" s="18">
        <v>2023</v>
      </c>
      <c r="AE113" s="18">
        <v>2024</v>
      </c>
      <c r="AF113" s="25"/>
      <c r="AG113" s="91"/>
    </row>
    <row r="114" spans="1:33" s="26" customFormat="1" ht="24" customHeight="1">
      <c r="A114" s="18">
        <f t="shared" si="24"/>
        <v>94</v>
      </c>
      <c r="B114" s="61" t="s">
        <v>415</v>
      </c>
      <c r="C114" s="724">
        <f t="shared" si="37"/>
        <v>3159313.72</v>
      </c>
      <c r="D114" s="78"/>
      <c r="E114" s="84"/>
      <c r="F114" s="78"/>
      <c r="G114" s="78"/>
      <c r="H114" s="78"/>
      <c r="I114" s="78"/>
      <c r="J114" s="742"/>
      <c r="K114" s="78"/>
      <c r="L114" s="78"/>
      <c r="M114" s="78"/>
      <c r="N114" s="878">
        <v>1</v>
      </c>
      <c r="O114" s="600">
        <f>3037801.66*N114</f>
        <v>3037801.66</v>
      </c>
      <c r="P114" s="600"/>
      <c r="Q114" s="600"/>
      <c r="R114" s="600"/>
      <c r="S114" s="600"/>
      <c r="T114" s="135"/>
      <c r="U114" s="135"/>
      <c r="V114" s="600">
        <f t="shared" si="38"/>
        <v>75945.039999999994</v>
      </c>
      <c r="W114" s="746">
        <f t="shared" si="39"/>
        <v>45567.02</v>
      </c>
      <c r="X114" s="600"/>
      <c r="Y114" s="743"/>
      <c r="Z114" s="600"/>
      <c r="AA114" s="743"/>
      <c r="AB114" s="724">
        <f t="shared" si="40"/>
        <v>3159313.72</v>
      </c>
      <c r="AC114" s="18"/>
      <c r="AD114" s="18">
        <v>2023</v>
      </c>
      <c r="AE114" s="18">
        <v>2024</v>
      </c>
      <c r="AF114" s="25"/>
      <c r="AG114" s="91"/>
    </row>
    <row r="115" spans="1:33" s="26" customFormat="1" ht="24" customHeight="1">
      <c r="A115" s="18">
        <f t="shared" si="24"/>
        <v>95</v>
      </c>
      <c r="B115" s="77" t="s">
        <v>945</v>
      </c>
      <c r="C115" s="4">
        <f t="shared" si="23"/>
        <v>2500448.61</v>
      </c>
      <c r="D115" s="9"/>
      <c r="E115" s="21"/>
      <c r="F115" s="21"/>
      <c r="G115" s="12"/>
      <c r="H115" s="13"/>
      <c r="I115" s="13"/>
      <c r="J115" s="87">
        <v>1</v>
      </c>
      <c r="K115" s="7">
        <f t="shared" si="35"/>
        <v>2342020.9300000002</v>
      </c>
      <c r="L115" s="12"/>
      <c r="M115" s="22"/>
      <c r="N115" s="204"/>
      <c r="O115" s="204"/>
      <c r="P115" s="204"/>
      <c r="Q115" s="727"/>
      <c r="R115" s="725"/>
      <c r="S115" s="725"/>
      <c r="T115" s="108"/>
      <c r="U115" s="108"/>
      <c r="V115" s="3">
        <v>124000</v>
      </c>
      <c r="W115" s="746">
        <v>34427.68</v>
      </c>
      <c r="X115" s="87"/>
      <c r="Y115" s="87"/>
      <c r="Z115" s="725">
        <f>K115+V115+W115</f>
        <v>2500448.61</v>
      </c>
      <c r="AA115" s="87"/>
      <c r="AB115" s="86"/>
      <c r="AC115" s="18"/>
      <c r="AD115" s="18">
        <v>2023</v>
      </c>
      <c r="AE115" s="18">
        <v>2023</v>
      </c>
      <c r="AF115" s="25"/>
      <c r="AG115" s="91"/>
    </row>
    <row r="116" spans="1:33" s="26" customFormat="1" ht="24" customHeight="1">
      <c r="A116" s="18">
        <f t="shared" si="24"/>
        <v>96</v>
      </c>
      <c r="B116" s="77" t="s">
        <v>883</v>
      </c>
      <c r="C116" s="4">
        <f t="shared" si="23"/>
        <v>2500448.63</v>
      </c>
      <c r="D116" s="9"/>
      <c r="E116" s="21"/>
      <c r="F116" s="87"/>
      <c r="G116" s="727"/>
      <c r="H116" s="201"/>
      <c r="I116" s="201"/>
      <c r="J116" s="87">
        <v>1</v>
      </c>
      <c r="K116" s="7">
        <f t="shared" si="35"/>
        <v>2342020.9300000002</v>
      </c>
      <c r="L116" s="12"/>
      <c r="M116" s="22"/>
      <c r="N116" s="204"/>
      <c r="O116" s="204"/>
      <c r="P116" s="204"/>
      <c r="Q116" s="727"/>
      <c r="R116" s="725"/>
      <c r="S116" s="725"/>
      <c r="T116" s="108"/>
      <c r="U116" s="108"/>
      <c r="V116" s="3">
        <v>124000</v>
      </c>
      <c r="W116" s="746">
        <v>34427.699999999997</v>
      </c>
      <c r="X116" s="87"/>
      <c r="Y116" s="87"/>
      <c r="Z116" s="725">
        <f>K116+V116+W116</f>
        <v>2500448.63</v>
      </c>
      <c r="AA116" s="87"/>
      <c r="AB116" s="86"/>
      <c r="AC116" s="18"/>
      <c r="AD116" s="18">
        <v>2023</v>
      </c>
      <c r="AE116" s="18">
        <v>2023</v>
      </c>
      <c r="AF116" s="25"/>
      <c r="AG116" s="91"/>
    </row>
    <row r="117" spans="1:33" s="26" customFormat="1" ht="24" customHeight="1">
      <c r="A117" s="18">
        <f t="shared" si="24"/>
        <v>97</v>
      </c>
      <c r="B117" s="77" t="s">
        <v>884</v>
      </c>
      <c r="C117" s="4">
        <f t="shared" si="23"/>
        <v>2500448.63</v>
      </c>
      <c r="D117" s="9"/>
      <c r="E117" s="21"/>
      <c r="F117" s="87"/>
      <c r="G117" s="727"/>
      <c r="H117" s="201"/>
      <c r="I117" s="201"/>
      <c r="J117" s="87">
        <v>1</v>
      </c>
      <c r="K117" s="7">
        <f t="shared" si="35"/>
        <v>2342020.9300000002</v>
      </c>
      <c r="L117" s="12"/>
      <c r="M117" s="22"/>
      <c r="N117" s="204"/>
      <c r="O117" s="204"/>
      <c r="P117" s="204"/>
      <c r="Q117" s="727"/>
      <c r="R117" s="725"/>
      <c r="S117" s="725"/>
      <c r="T117" s="108"/>
      <c r="U117" s="108"/>
      <c r="V117" s="3">
        <v>124000</v>
      </c>
      <c r="W117" s="746">
        <v>34427.699999999997</v>
      </c>
      <c r="X117" s="87"/>
      <c r="Y117" s="87"/>
      <c r="Z117" s="725">
        <f>K117+V117+W117</f>
        <v>2500448.63</v>
      </c>
      <c r="AA117" s="87"/>
      <c r="AB117" s="86"/>
      <c r="AC117" s="18"/>
      <c r="AD117" s="18">
        <v>2023</v>
      </c>
      <c r="AE117" s="18">
        <v>2023</v>
      </c>
      <c r="AF117" s="25"/>
      <c r="AG117" s="91"/>
    </row>
    <row r="118" spans="1:33" s="26" customFormat="1" ht="24" customHeight="1">
      <c r="A118" s="18">
        <f t="shared" si="24"/>
        <v>98</v>
      </c>
      <c r="B118" s="77" t="s">
        <v>885</v>
      </c>
      <c r="C118" s="725">
        <f t="shared" si="23"/>
        <v>2500448.63</v>
      </c>
      <c r="D118" s="725"/>
      <c r="E118" s="21"/>
      <c r="F118" s="87"/>
      <c r="G118" s="727"/>
      <c r="H118" s="201"/>
      <c r="I118" s="201"/>
      <c r="J118" s="87">
        <v>1</v>
      </c>
      <c r="K118" s="7">
        <f t="shared" si="35"/>
        <v>2342020.9300000002</v>
      </c>
      <c r="L118" s="12"/>
      <c r="M118" s="22"/>
      <c r="N118" s="204"/>
      <c r="O118" s="204"/>
      <c r="P118" s="204"/>
      <c r="Q118" s="727"/>
      <c r="R118" s="725"/>
      <c r="S118" s="725"/>
      <c r="T118" s="108"/>
      <c r="U118" s="108"/>
      <c r="V118" s="3">
        <v>124000</v>
      </c>
      <c r="W118" s="746">
        <v>34427.699999999997</v>
      </c>
      <c r="X118" s="87"/>
      <c r="Y118" s="87"/>
      <c r="Z118" s="725">
        <f>K118+V118+W118</f>
        <v>2500448.63</v>
      </c>
      <c r="AA118" s="87"/>
      <c r="AB118" s="86"/>
      <c r="AC118" s="18"/>
      <c r="AD118" s="18">
        <v>2023</v>
      </c>
      <c r="AE118" s="18">
        <v>2023</v>
      </c>
      <c r="AF118" s="25"/>
      <c r="AG118" s="91"/>
    </row>
    <row r="119" spans="1:33" s="26" customFormat="1" ht="24" customHeight="1">
      <c r="A119" s="18">
        <f t="shared" si="24"/>
        <v>99</v>
      </c>
      <c r="B119" s="77" t="s">
        <v>886</v>
      </c>
      <c r="C119" s="725">
        <f t="shared" si="23"/>
        <v>2500448.63</v>
      </c>
      <c r="D119" s="725"/>
      <c r="E119" s="87"/>
      <c r="F119" s="87"/>
      <c r="G119" s="727"/>
      <c r="H119" s="201"/>
      <c r="I119" s="201"/>
      <c r="J119" s="87">
        <v>1</v>
      </c>
      <c r="K119" s="7">
        <f t="shared" si="35"/>
        <v>2342020.9300000002</v>
      </c>
      <c r="L119" s="12"/>
      <c r="M119" s="22"/>
      <c r="N119" s="204"/>
      <c r="O119" s="204"/>
      <c r="P119" s="204"/>
      <c r="Q119" s="727"/>
      <c r="R119" s="725"/>
      <c r="S119" s="725"/>
      <c r="T119" s="108"/>
      <c r="U119" s="108"/>
      <c r="V119" s="3">
        <v>124000</v>
      </c>
      <c r="W119" s="746">
        <v>34427.699999999997</v>
      </c>
      <c r="X119" s="87"/>
      <c r="Y119" s="87"/>
      <c r="Z119" s="725">
        <f>K119+V119+W119</f>
        <v>2500448.63</v>
      </c>
      <c r="AA119" s="87"/>
      <c r="AB119" s="86"/>
      <c r="AC119" s="18"/>
      <c r="AD119" s="18">
        <v>2023</v>
      </c>
      <c r="AE119" s="18">
        <v>2023</v>
      </c>
      <c r="AF119" s="25"/>
      <c r="AG119" s="91"/>
    </row>
    <row r="120" spans="1:33" s="26" customFormat="1" ht="24" customHeight="1">
      <c r="A120" s="18">
        <f t="shared" si="24"/>
        <v>100</v>
      </c>
      <c r="B120" s="77" t="s">
        <v>887</v>
      </c>
      <c r="C120" s="725">
        <f t="shared" si="23"/>
        <v>1827624.95</v>
      </c>
      <c r="D120" s="725"/>
      <c r="E120" s="742">
        <v>1</v>
      </c>
      <c r="F120" s="600">
        <v>1604744.95</v>
      </c>
      <c r="G120" s="712"/>
      <c r="H120" s="600"/>
      <c r="I120" s="600"/>
      <c r="J120" s="80"/>
      <c r="K120" s="78"/>
      <c r="L120" s="712"/>
      <c r="M120" s="82"/>
      <c r="N120" s="83"/>
      <c r="O120" s="712"/>
      <c r="P120" s="600"/>
      <c r="Q120" s="600"/>
      <c r="R120" s="600"/>
      <c r="S120" s="600"/>
      <c r="T120" s="135"/>
      <c r="U120" s="135"/>
      <c r="V120" s="600">
        <v>222880</v>
      </c>
      <c r="W120" s="600"/>
      <c r="X120" s="87"/>
      <c r="Y120" s="87"/>
      <c r="Z120" s="725">
        <f>C120</f>
        <v>1827624.95</v>
      </c>
      <c r="AA120" s="87"/>
      <c r="AB120" s="86"/>
      <c r="AC120" s="18"/>
      <c r="AD120" s="18">
        <v>2023</v>
      </c>
      <c r="AE120" s="18">
        <v>2023</v>
      </c>
      <c r="AF120" s="25"/>
      <c r="AG120" s="91"/>
    </row>
    <row r="121" spans="1:33" s="26" customFormat="1" ht="24" customHeight="1">
      <c r="A121" s="18">
        <f t="shared" si="24"/>
        <v>101</v>
      </c>
      <c r="B121" s="77" t="s">
        <v>74</v>
      </c>
      <c r="C121" s="725">
        <f t="shared" si="23"/>
        <v>26471756.890000001</v>
      </c>
      <c r="D121" s="725">
        <f>ROUND(4300.9*660.21,2)</f>
        <v>2839497.19</v>
      </c>
      <c r="E121" s="87"/>
      <c r="F121" s="87"/>
      <c r="G121" s="727">
        <f>ROUND(4300.9*620.83,2)</f>
        <v>2670127.75</v>
      </c>
      <c r="H121" s="201">
        <f>ROUND(4300.9*665.62,2)</f>
        <v>2862765.06</v>
      </c>
      <c r="I121" s="201">
        <f>ROUND(4300.9*3201.73,2)</f>
        <v>13770320.560000001</v>
      </c>
      <c r="J121" s="18"/>
      <c r="K121" s="11"/>
      <c r="L121" s="727">
        <f>ROUND(4300.9*616.25,2)</f>
        <v>2650429.63</v>
      </c>
      <c r="M121" s="22"/>
      <c r="N121" s="22"/>
      <c r="O121" s="204"/>
      <c r="P121" s="204"/>
      <c r="Q121" s="727"/>
      <c r="R121" s="725"/>
      <c r="S121" s="725"/>
      <c r="T121" s="108"/>
      <c r="U121" s="108"/>
      <c r="V121" s="3">
        <v>1306719.6000000001</v>
      </c>
      <c r="W121" s="600">
        <v>371897.1</v>
      </c>
      <c r="X121" s="87"/>
      <c r="Y121" s="87"/>
      <c r="Z121" s="87"/>
      <c r="AA121" s="87"/>
      <c r="AB121" s="86">
        <f t="shared" si="28"/>
        <v>26471756.890000001</v>
      </c>
      <c r="AC121" s="18"/>
      <c r="AD121" s="18">
        <v>2023</v>
      </c>
      <c r="AE121" s="18">
        <v>2023</v>
      </c>
      <c r="AF121" s="25"/>
      <c r="AG121" s="91"/>
    </row>
    <row r="122" spans="1:33" s="26" customFormat="1" ht="24" customHeight="1">
      <c r="A122" s="18">
        <f t="shared" si="24"/>
        <v>102</v>
      </c>
      <c r="B122" s="77" t="s">
        <v>75</v>
      </c>
      <c r="C122" s="725">
        <f t="shared" si="23"/>
        <v>18737238.940000001</v>
      </c>
      <c r="D122" s="725"/>
      <c r="E122" s="87"/>
      <c r="F122" s="87"/>
      <c r="G122" s="727">
        <f>ROUND(3312.7*650.2,2)</f>
        <v>2153917.54</v>
      </c>
      <c r="H122" s="201">
        <f>ROUND(3312.7*643.1,2)</f>
        <v>2130397.37</v>
      </c>
      <c r="I122" s="201">
        <f>ROUND(3312.7*3349.66,2)</f>
        <v>11096418.68</v>
      </c>
      <c r="J122" s="18"/>
      <c r="K122" s="11"/>
      <c r="L122" s="727">
        <f>ROUND(3312.7*616.25,2)</f>
        <v>2041451.38</v>
      </c>
      <c r="M122" s="22"/>
      <c r="N122" s="22"/>
      <c r="O122" s="204"/>
      <c r="P122" s="204"/>
      <c r="Q122" s="727"/>
      <c r="R122" s="725"/>
      <c r="S122" s="725"/>
      <c r="T122" s="108"/>
      <c r="U122" s="108"/>
      <c r="V122" s="3">
        <v>1053721.2</v>
      </c>
      <c r="W122" s="600">
        <v>261332.77</v>
      </c>
      <c r="X122" s="87"/>
      <c r="Y122" s="87"/>
      <c r="Z122" s="87"/>
      <c r="AA122" s="87"/>
      <c r="AB122" s="86">
        <f t="shared" si="28"/>
        <v>18737238.940000001</v>
      </c>
      <c r="AC122" s="18"/>
      <c r="AD122" s="18">
        <v>2023</v>
      </c>
      <c r="AE122" s="18">
        <v>2023</v>
      </c>
      <c r="AF122" s="25"/>
      <c r="AG122" s="91"/>
    </row>
    <row r="123" spans="1:33" s="26" customFormat="1" ht="24" customHeight="1">
      <c r="A123" s="18">
        <f t="shared" ref="A123:A188" si="41">A122+1</f>
        <v>103</v>
      </c>
      <c r="B123" s="434" t="s">
        <v>76</v>
      </c>
      <c r="C123" s="563">
        <f t="shared" si="23"/>
        <v>83742944.620000005</v>
      </c>
      <c r="D123" s="563"/>
      <c r="E123" s="734"/>
      <c r="F123" s="734"/>
      <c r="G123" s="736"/>
      <c r="H123" s="747"/>
      <c r="I123" s="747"/>
      <c r="J123" s="426"/>
      <c r="K123" s="432"/>
      <c r="L123" s="736"/>
      <c r="M123" s="422"/>
      <c r="N123" s="422"/>
      <c r="O123" s="737"/>
      <c r="P123" s="494">
        <v>24719141.809999999</v>
      </c>
      <c r="Q123" s="736"/>
      <c r="R123" s="563">
        <v>51894360.43</v>
      </c>
      <c r="S123" s="563"/>
      <c r="T123" s="428"/>
      <c r="U123" s="428"/>
      <c r="V123" s="417">
        <f>2489137.74+3639763.08</f>
        <v>6128900.8200000003</v>
      </c>
      <c r="W123" s="446">
        <v>825774.48</v>
      </c>
      <c r="X123" s="563">
        <f>70978.36+103788.72</f>
        <v>174767.08</v>
      </c>
      <c r="Y123" s="734"/>
      <c r="Z123" s="735">
        <f>C123</f>
        <v>83742944.620000005</v>
      </c>
      <c r="AA123" s="734"/>
      <c r="AB123" s="735"/>
      <c r="AC123" s="426"/>
      <c r="AD123" s="426">
        <v>2022</v>
      </c>
      <c r="AE123" s="426">
        <v>2023</v>
      </c>
      <c r="AF123" s="25"/>
      <c r="AG123" s="91"/>
    </row>
    <row r="124" spans="1:33" s="26" customFormat="1" ht="24" customHeight="1">
      <c r="A124" s="18">
        <f t="shared" si="41"/>
        <v>104</v>
      </c>
      <c r="B124" s="434" t="s">
        <v>77</v>
      </c>
      <c r="C124" s="563">
        <f t="shared" si="23"/>
        <v>56357828.149999999</v>
      </c>
      <c r="D124" s="563"/>
      <c r="E124" s="734"/>
      <c r="F124" s="734"/>
      <c r="G124" s="736"/>
      <c r="H124" s="747"/>
      <c r="I124" s="747"/>
      <c r="J124" s="426"/>
      <c r="K124" s="432"/>
      <c r="L124" s="421"/>
      <c r="M124" s="422"/>
      <c r="N124" s="422"/>
      <c r="O124" s="737"/>
      <c r="P124" s="736">
        <v>19454108.32</v>
      </c>
      <c r="Q124" s="736"/>
      <c r="R124" s="563">
        <v>33573002.020000003</v>
      </c>
      <c r="S124" s="563"/>
      <c r="T124" s="428"/>
      <c r="U124" s="428"/>
      <c r="V124" s="417">
        <f>1527029.71+1407523.43</f>
        <v>2934553.14</v>
      </c>
      <c r="W124" s="446">
        <v>396164.67</v>
      </c>
      <c r="X124" s="734"/>
      <c r="Y124" s="734"/>
      <c r="Z124" s="735">
        <f>C124</f>
        <v>56357828.149999999</v>
      </c>
      <c r="AA124" s="734"/>
      <c r="AB124" s="735"/>
      <c r="AC124" s="426"/>
      <c r="AD124" s="426">
        <v>2022</v>
      </c>
      <c r="AE124" s="426">
        <v>2023</v>
      </c>
      <c r="AF124" s="25"/>
      <c r="AG124" s="91"/>
    </row>
    <row r="125" spans="1:33" s="26" customFormat="1" ht="24" customHeight="1">
      <c r="A125" s="18">
        <f t="shared" si="41"/>
        <v>105</v>
      </c>
      <c r="B125" s="434" t="s">
        <v>1005</v>
      </c>
      <c r="C125" s="563">
        <f t="shared" si="23"/>
        <v>4960000</v>
      </c>
      <c r="D125" s="563">
        <v>1208381.33</v>
      </c>
      <c r="E125" s="734">
        <v>1</v>
      </c>
      <c r="F125" s="735">
        <v>1334856</v>
      </c>
      <c r="G125" s="563">
        <v>1208381.33</v>
      </c>
      <c r="H125" s="563">
        <v>1208381.3400000001</v>
      </c>
      <c r="I125" s="747"/>
      <c r="J125" s="426"/>
      <c r="K125" s="432"/>
      <c r="L125" s="421"/>
      <c r="M125" s="422"/>
      <c r="N125" s="422"/>
      <c r="O125" s="737"/>
      <c r="P125" s="736"/>
      <c r="Q125" s="736"/>
      <c r="R125" s="563"/>
      <c r="S125" s="563"/>
      <c r="T125" s="428"/>
      <c r="U125" s="428"/>
      <c r="V125" s="417"/>
      <c r="W125" s="446"/>
      <c r="X125" s="734"/>
      <c r="Y125" s="734"/>
      <c r="Z125" s="735"/>
      <c r="AA125" s="734"/>
      <c r="AB125" s="444">
        <f>C125</f>
        <v>4960000</v>
      </c>
      <c r="AC125" s="426"/>
      <c r="AD125" s="426">
        <v>2023</v>
      </c>
      <c r="AE125" s="426">
        <v>2023</v>
      </c>
      <c r="AF125" s="91"/>
      <c r="AG125" s="91"/>
    </row>
    <row r="126" spans="1:33" s="26" customFormat="1" ht="24" customHeight="1">
      <c r="A126" s="18">
        <f t="shared" si="41"/>
        <v>106</v>
      </c>
      <c r="B126" s="77" t="s">
        <v>416</v>
      </c>
      <c r="C126" s="724">
        <f t="shared" ref="C126:C127" si="42">SUM(D126:X126)-(E126+J126+N126)</f>
        <v>6318627.4500000002</v>
      </c>
      <c r="D126" s="600"/>
      <c r="E126" s="742"/>
      <c r="F126" s="600"/>
      <c r="G126" s="600"/>
      <c r="H126" s="600"/>
      <c r="I126" s="600"/>
      <c r="J126" s="39"/>
      <c r="K126" s="78"/>
      <c r="L126" s="78"/>
      <c r="M126" s="78"/>
      <c r="N126" s="878">
        <v>2</v>
      </c>
      <c r="O126" s="600">
        <f>3037801.66*N126</f>
        <v>6075603.3200000003</v>
      </c>
      <c r="P126" s="600"/>
      <c r="Q126" s="600"/>
      <c r="R126" s="600"/>
      <c r="S126" s="600"/>
      <c r="T126" s="135"/>
      <c r="U126" s="135"/>
      <c r="V126" s="600">
        <f>75945.04*N126</f>
        <v>151890.07999999999</v>
      </c>
      <c r="W126" s="600">
        <f>O126*1.5/100</f>
        <v>91134.05</v>
      </c>
      <c r="X126" s="78"/>
      <c r="Y126" s="39"/>
      <c r="Z126" s="78"/>
      <c r="AA126" s="79"/>
      <c r="AB126" s="39">
        <f>SUM(O126+V126+W126)</f>
        <v>6318627.4500000002</v>
      </c>
      <c r="AC126" s="18"/>
      <c r="AD126" s="18">
        <v>2023</v>
      </c>
      <c r="AE126" s="18">
        <v>2024</v>
      </c>
      <c r="AF126" s="25"/>
      <c r="AG126" s="91"/>
    </row>
    <row r="127" spans="1:33" s="26" customFormat="1" ht="24" customHeight="1">
      <c r="A127" s="18">
        <f t="shared" si="41"/>
        <v>107</v>
      </c>
      <c r="B127" s="77" t="s">
        <v>417</v>
      </c>
      <c r="C127" s="724">
        <f t="shared" si="42"/>
        <v>9477941.1699999999</v>
      </c>
      <c r="D127" s="78"/>
      <c r="E127" s="742"/>
      <c r="F127" s="600"/>
      <c r="G127" s="600"/>
      <c r="H127" s="600"/>
      <c r="I127" s="600"/>
      <c r="J127" s="39"/>
      <c r="K127" s="78"/>
      <c r="L127" s="78"/>
      <c r="M127" s="78"/>
      <c r="N127" s="878">
        <v>3</v>
      </c>
      <c r="O127" s="78">
        <f>3037801.66*N127</f>
        <v>9113404.9800000004</v>
      </c>
      <c r="P127" s="78"/>
      <c r="Q127" s="78"/>
      <c r="R127" s="78"/>
      <c r="S127" s="78"/>
      <c r="T127" s="135"/>
      <c r="U127" s="135"/>
      <c r="V127" s="600">
        <f>75945.04*N127</f>
        <v>227835.12</v>
      </c>
      <c r="W127" s="600">
        <f>O127*1.5/100</f>
        <v>136701.07</v>
      </c>
      <c r="X127" s="600"/>
      <c r="Y127" s="724"/>
      <c r="Z127" s="600"/>
      <c r="AA127" s="743"/>
      <c r="AB127" s="724">
        <f>SUM(O127+V127+W127)</f>
        <v>9477941.1699999999</v>
      </c>
      <c r="AC127" s="87"/>
      <c r="AD127" s="18">
        <v>2023</v>
      </c>
      <c r="AE127" s="18">
        <v>2024</v>
      </c>
      <c r="AF127" s="25"/>
      <c r="AG127" s="91"/>
    </row>
    <row r="128" spans="1:33" s="26" customFormat="1" ht="24" customHeight="1">
      <c r="A128" s="18">
        <f t="shared" si="41"/>
        <v>108</v>
      </c>
      <c r="B128" s="77" t="s">
        <v>1197</v>
      </c>
      <c r="C128" s="4">
        <f t="shared" si="23"/>
        <v>2500448.63</v>
      </c>
      <c r="D128" s="9"/>
      <c r="E128" s="87"/>
      <c r="F128" s="21"/>
      <c r="G128" s="12"/>
      <c r="H128" s="13"/>
      <c r="I128" s="13"/>
      <c r="J128" s="87">
        <v>1</v>
      </c>
      <c r="K128" s="7">
        <f t="shared" ref="K128:K135" si="43">(2501151.24-124000)/101.5*100</f>
        <v>2342020.9300000002</v>
      </c>
      <c r="L128" s="12"/>
      <c r="M128" s="22"/>
      <c r="N128" s="204"/>
      <c r="O128" s="22"/>
      <c r="P128" s="22"/>
      <c r="Q128" s="12"/>
      <c r="R128" s="9"/>
      <c r="S128" s="9"/>
      <c r="T128" s="108"/>
      <c r="U128" s="108"/>
      <c r="V128" s="3">
        <v>124000</v>
      </c>
      <c r="W128" s="600">
        <v>34427.699999999997</v>
      </c>
      <c r="X128" s="87"/>
      <c r="Y128" s="87"/>
      <c r="Z128" s="725">
        <f t="shared" ref="Z128:Z137" si="44">K128+V128+W128</f>
        <v>2500448.63</v>
      </c>
      <c r="AA128" s="87"/>
      <c r="AB128" s="86"/>
      <c r="AC128" s="87"/>
      <c r="AD128" s="18">
        <v>2023</v>
      </c>
      <c r="AE128" s="18">
        <v>2023</v>
      </c>
      <c r="AF128" s="25"/>
      <c r="AG128" s="91"/>
    </row>
    <row r="129" spans="1:33" s="26" customFormat="1" ht="24" customHeight="1">
      <c r="A129" s="18">
        <f t="shared" si="41"/>
        <v>109</v>
      </c>
      <c r="B129" s="77" t="s">
        <v>1196</v>
      </c>
      <c r="C129" s="4">
        <f t="shared" si="23"/>
        <v>2500448.63</v>
      </c>
      <c r="D129" s="9"/>
      <c r="E129" s="21"/>
      <c r="F129" s="21"/>
      <c r="G129" s="12"/>
      <c r="H129" s="13"/>
      <c r="I129" s="13"/>
      <c r="J129" s="87">
        <v>1</v>
      </c>
      <c r="K129" s="7">
        <f t="shared" si="43"/>
        <v>2342020.9300000002</v>
      </c>
      <c r="L129" s="12"/>
      <c r="M129" s="22"/>
      <c r="N129" s="22"/>
      <c r="O129" s="22"/>
      <c r="P129" s="22"/>
      <c r="Q129" s="12"/>
      <c r="R129" s="9"/>
      <c r="S129" s="9"/>
      <c r="T129" s="108"/>
      <c r="U129" s="108"/>
      <c r="V129" s="3">
        <v>124000</v>
      </c>
      <c r="W129" s="600">
        <v>34427.699999999997</v>
      </c>
      <c r="X129" s="87"/>
      <c r="Y129" s="87"/>
      <c r="Z129" s="725">
        <f t="shared" si="44"/>
        <v>2500448.63</v>
      </c>
      <c r="AA129" s="87"/>
      <c r="AB129" s="86"/>
      <c r="AC129" s="87"/>
      <c r="AD129" s="18">
        <v>2023</v>
      </c>
      <c r="AE129" s="18">
        <v>2023</v>
      </c>
      <c r="AF129" s="25"/>
      <c r="AG129" s="91"/>
    </row>
    <row r="130" spans="1:33" s="26" customFormat="1" ht="24" customHeight="1">
      <c r="A130" s="18">
        <f t="shared" si="41"/>
        <v>110</v>
      </c>
      <c r="B130" s="77" t="s">
        <v>1198</v>
      </c>
      <c r="C130" s="4">
        <f t="shared" si="23"/>
        <v>2500448.63</v>
      </c>
      <c r="D130" s="9"/>
      <c r="E130" s="21"/>
      <c r="F130" s="21"/>
      <c r="G130" s="12"/>
      <c r="H130" s="13"/>
      <c r="I130" s="13"/>
      <c r="J130" s="87">
        <v>1</v>
      </c>
      <c r="K130" s="7">
        <f t="shared" si="43"/>
        <v>2342020.9300000002</v>
      </c>
      <c r="L130" s="12"/>
      <c r="M130" s="22"/>
      <c r="N130" s="22"/>
      <c r="O130" s="22"/>
      <c r="P130" s="22"/>
      <c r="Q130" s="12"/>
      <c r="R130" s="9"/>
      <c r="S130" s="9"/>
      <c r="T130" s="108"/>
      <c r="U130" s="108"/>
      <c r="V130" s="3">
        <v>124000</v>
      </c>
      <c r="W130" s="600">
        <v>34427.699999999997</v>
      </c>
      <c r="X130" s="87"/>
      <c r="Y130" s="87"/>
      <c r="Z130" s="725">
        <f t="shared" si="44"/>
        <v>2500448.63</v>
      </c>
      <c r="AA130" s="87"/>
      <c r="AB130" s="86"/>
      <c r="AC130" s="87"/>
      <c r="AD130" s="18">
        <v>2023</v>
      </c>
      <c r="AE130" s="18">
        <v>2023</v>
      </c>
      <c r="AF130" s="25"/>
      <c r="AG130" s="91"/>
    </row>
    <row r="131" spans="1:33" s="26" customFormat="1" ht="24" customHeight="1">
      <c r="A131" s="18">
        <f t="shared" si="41"/>
        <v>111</v>
      </c>
      <c r="B131" s="77" t="s">
        <v>1199</v>
      </c>
      <c r="C131" s="4">
        <f t="shared" si="23"/>
        <v>2500448.63</v>
      </c>
      <c r="D131" s="9"/>
      <c r="E131" s="21"/>
      <c r="F131" s="21"/>
      <c r="G131" s="12"/>
      <c r="H131" s="13"/>
      <c r="I131" s="13"/>
      <c r="J131" s="87">
        <v>1</v>
      </c>
      <c r="K131" s="7">
        <f t="shared" si="43"/>
        <v>2342020.9300000002</v>
      </c>
      <c r="L131" s="12"/>
      <c r="M131" s="22"/>
      <c r="N131" s="22"/>
      <c r="O131" s="22"/>
      <c r="P131" s="22"/>
      <c r="Q131" s="12"/>
      <c r="R131" s="9"/>
      <c r="S131" s="9"/>
      <c r="T131" s="108"/>
      <c r="U131" s="108"/>
      <c r="V131" s="3">
        <v>124000</v>
      </c>
      <c r="W131" s="600">
        <v>34427.699999999997</v>
      </c>
      <c r="X131" s="87"/>
      <c r="Y131" s="87"/>
      <c r="Z131" s="725">
        <f t="shared" si="44"/>
        <v>2500448.63</v>
      </c>
      <c r="AA131" s="87"/>
      <c r="AB131" s="86"/>
      <c r="AC131" s="87"/>
      <c r="AD131" s="18">
        <v>2023</v>
      </c>
      <c r="AE131" s="18">
        <v>2023</v>
      </c>
      <c r="AF131" s="25"/>
      <c r="AG131" s="91"/>
    </row>
    <row r="132" spans="1:33" s="26" customFormat="1" ht="24" customHeight="1">
      <c r="A132" s="18">
        <f t="shared" si="41"/>
        <v>112</v>
      </c>
      <c r="B132" s="77" t="s">
        <v>1200</v>
      </c>
      <c r="C132" s="4">
        <f t="shared" si="23"/>
        <v>2500448.63</v>
      </c>
      <c r="D132" s="9"/>
      <c r="E132" s="21"/>
      <c r="F132" s="21"/>
      <c r="G132" s="12"/>
      <c r="H132" s="13"/>
      <c r="I132" s="13"/>
      <c r="J132" s="87">
        <v>1</v>
      </c>
      <c r="K132" s="7">
        <f t="shared" si="43"/>
        <v>2342020.9300000002</v>
      </c>
      <c r="L132" s="12"/>
      <c r="M132" s="22"/>
      <c r="N132" s="22"/>
      <c r="O132" s="22"/>
      <c r="P132" s="22"/>
      <c r="Q132" s="12"/>
      <c r="R132" s="9"/>
      <c r="S132" s="9"/>
      <c r="T132" s="108"/>
      <c r="U132" s="108"/>
      <c r="V132" s="3">
        <v>124000</v>
      </c>
      <c r="W132" s="600">
        <v>34427.699999999997</v>
      </c>
      <c r="X132" s="87"/>
      <c r="Y132" s="87"/>
      <c r="Z132" s="725">
        <f t="shared" si="44"/>
        <v>2500448.63</v>
      </c>
      <c r="AA132" s="87"/>
      <c r="AB132" s="86"/>
      <c r="AC132" s="87"/>
      <c r="AD132" s="18">
        <v>2023</v>
      </c>
      <c r="AE132" s="18">
        <v>2023</v>
      </c>
      <c r="AF132" s="25"/>
      <c r="AG132" s="91"/>
    </row>
    <row r="133" spans="1:33" s="26" customFormat="1" ht="24" customHeight="1">
      <c r="A133" s="18">
        <f t="shared" si="41"/>
        <v>113</v>
      </c>
      <c r="B133" s="77" t="s">
        <v>1201</v>
      </c>
      <c r="C133" s="4">
        <f t="shared" si="23"/>
        <v>2500448.63</v>
      </c>
      <c r="D133" s="9"/>
      <c r="E133" s="21"/>
      <c r="F133" s="21"/>
      <c r="G133" s="12"/>
      <c r="H133" s="13"/>
      <c r="I133" s="13"/>
      <c r="J133" s="87">
        <v>1</v>
      </c>
      <c r="K133" s="7">
        <f t="shared" si="43"/>
        <v>2342020.9300000002</v>
      </c>
      <c r="L133" s="12"/>
      <c r="M133" s="22"/>
      <c r="N133" s="22"/>
      <c r="O133" s="22"/>
      <c r="P133" s="22"/>
      <c r="Q133" s="12"/>
      <c r="R133" s="9"/>
      <c r="S133" s="9"/>
      <c r="T133" s="108"/>
      <c r="U133" s="108"/>
      <c r="V133" s="3">
        <v>124000</v>
      </c>
      <c r="W133" s="600">
        <v>34427.699999999997</v>
      </c>
      <c r="X133" s="87"/>
      <c r="Y133" s="87"/>
      <c r="Z133" s="725">
        <f t="shared" si="44"/>
        <v>2500448.63</v>
      </c>
      <c r="AA133" s="87"/>
      <c r="AB133" s="86"/>
      <c r="AC133" s="87"/>
      <c r="AD133" s="18">
        <v>2023</v>
      </c>
      <c r="AE133" s="18">
        <v>2023</v>
      </c>
      <c r="AF133" s="25"/>
      <c r="AG133" s="91"/>
    </row>
    <row r="134" spans="1:33" s="26" customFormat="1" ht="24" customHeight="1">
      <c r="A134" s="18">
        <f t="shared" si="41"/>
        <v>114</v>
      </c>
      <c r="B134" s="77" t="s">
        <v>1202</v>
      </c>
      <c r="C134" s="4">
        <f t="shared" si="23"/>
        <v>2500448.63</v>
      </c>
      <c r="D134" s="9"/>
      <c r="E134" s="21"/>
      <c r="F134" s="21"/>
      <c r="G134" s="12"/>
      <c r="H134" s="13"/>
      <c r="I134" s="13"/>
      <c r="J134" s="87">
        <v>1</v>
      </c>
      <c r="K134" s="7">
        <f t="shared" si="43"/>
        <v>2342020.9300000002</v>
      </c>
      <c r="L134" s="12"/>
      <c r="M134" s="22"/>
      <c r="N134" s="22"/>
      <c r="O134" s="22"/>
      <c r="P134" s="22"/>
      <c r="Q134" s="12"/>
      <c r="R134" s="9"/>
      <c r="S134" s="9"/>
      <c r="T134" s="108"/>
      <c r="U134" s="108"/>
      <c r="V134" s="3">
        <v>124000</v>
      </c>
      <c r="W134" s="600">
        <v>34427.699999999997</v>
      </c>
      <c r="X134" s="87"/>
      <c r="Y134" s="87"/>
      <c r="Z134" s="725">
        <f t="shared" si="44"/>
        <v>2500448.63</v>
      </c>
      <c r="AA134" s="87"/>
      <c r="AB134" s="86"/>
      <c r="AC134" s="87"/>
      <c r="AD134" s="18">
        <v>2023</v>
      </c>
      <c r="AE134" s="18">
        <v>2023</v>
      </c>
      <c r="AF134" s="25"/>
      <c r="AG134" s="91"/>
    </row>
    <row r="135" spans="1:33" s="26" customFormat="1" ht="24" customHeight="1">
      <c r="A135" s="18">
        <f t="shared" si="41"/>
        <v>115</v>
      </c>
      <c r="B135" s="77" t="s">
        <v>1203</v>
      </c>
      <c r="C135" s="4">
        <f t="shared" si="23"/>
        <v>2500448.63</v>
      </c>
      <c r="D135" s="9"/>
      <c r="E135" s="21"/>
      <c r="F135" s="21"/>
      <c r="G135" s="12"/>
      <c r="H135" s="13"/>
      <c r="I135" s="13"/>
      <c r="J135" s="87">
        <v>1</v>
      </c>
      <c r="K135" s="7">
        <f t="shared" si="43"/>
        <v>2342020.9300000002</v>
      </c>
      <c r="L135" s="12"/>
      <c r="M135" s="22"/>
      <c r="N135" s="22"/>
      <c r="O135" s="22"/>
      <c r="P135" s="22"/>
      <c r="Q135" s="12"/>
      <c r="R135" s="9"/>
      <c r="S135" s="9"/>
      <c r="T135" s="108"/>
      <c r="U135" s="108"/>
      <c r="V135" s="3">
        <v>124000</v>
      </c>
      <c r="W135" s="600">
        <v>34427.699999999997</v>
      </c>
      <c r="X135" s="87"/>
      <c r="Y135" s="87"/>
      <c r="Z135" s="725">
        <f t="shared" si="44"/>
        <v>2500448.63</v>
      </c>
      <c r="AA135" s="87"/>
      <c r="AB135" s="86"/>
      <c r="AC135" s="87"/>
      <c r="AD135" s="18">
        <v>2023</v>
      </c>
      <c r="AE135" s="18">
        <v>2023</v>
      </c>
      <c r="AF135" s="25"/>
      <c r="AG135" s="91"/>
    </row>
    <row r="136" spans="1:33" s="26" customFormat="1" ht="24" customHeight="1">
      <c r="A136" s="18">
        <f t="shared" si="41"/>
        <v>116</v>
      </c>
      <c r="B136" s="77" t="s">
        <v>1204</v>
      </c>
      <c r="C136" s="4">
        <f t="shared" si="23"/>
        <v>5000897.28</v>
      </c>
      <c r="D136" s="9"/>
      <c r="E136" s="21"/>
      <c r="F136" s="21"/>
      <c r="G136" s="12"/>
      <c r="H136" s="13"/>
      <c r="I136" s="13"/>
      <c r="J136" s="87">
        <v>2</v>
      </c>
      <c r="K136" s="7">
        <v>4684041.8600000003</v>
      </c>
      <c r="L136" s="12"/>
      <c r="M136" s="22"/>
      <c r="N136" s="204"/>
      <c r="O136" s="22"/>
      <c r="P136" s="22"/>
      <c r="Q136" s="12"/>
      <c r="R136" s="9"/>
      <c r="S136" s="9"/>
      <c r="T136" s="108"/>
      <c r="U136" s="108"/>
      <c r="V136" s="3">
        <f>124000*2</f>
        <v>248000</v>
      </c>
      <c r="W136" s="600">
        <v>68855.42</v>
      </c>
      <c r="X136" s="87"/>
      <c r="Y136" s="87"/>
      <c r="Z136" s="725">
        <f t="shared" si="44"/>
        <v>5000897.28</v>
      </c>
      <c r="AA136" s="87"/>
      <c r="AB136" s="86"/>
      <c r="AC136" s="87"/>
      <c r="AD136" s="18">
        <v>2023</v>
      </c>
      <c r="AE136" s="18">
        <v>2023</v>
      </c>
      <c r="AF136" s="25"/>
      <c r="AG136" s="91"/>
    </row>
    <row r="137" spans="1:33" s="26" customFormat="1" ht="24" customHeight="1">
      <c r="A137" s="18">
        <f t="shared" si="41"/>
        <v>117</v>
      </c>
      <c r="B137" s="77" t="s">
        <v>1205</v>
      </c>
      <c r="C137" s="4">
        <f t="shared" si="23"/>
        <v>5000897.28</v>
      </c>
      <c r="D137" s="9"/>
      <c r="E137" s="21"/>
      <c r="F137" s="21"/>
      <c r="G137" s="12"/>
      <c r="H137" s="13"/>
      <c r="I137" s="13"/>
      <c r="J137" s="87">
        <v>2</v>
      </c>
      <c r="K137" s="7">
        <v>4684041.8600000003</v>
      </c>
      <c r="L137" s="12"/>
      <c r="M137" s="22"/>
      <c r="N137" s="204"/>
      <c r="O137" s="22"/>
      <c r="P137" s="22"/>
      <c r="Q137" s="12"/>
      <c r="R137" s="9"/>
      <c r="S137" s="9"/>
      <c r="T137" s="108"/>
      <c r="U137" s="108"/>
      <c r="V137" s="3">
        <f>124000*2</f>
        <v>248000</v>
      </c>
      <c r="W137" s="600">
        <v>68855.42</v>
      </c>
      <c r="X137" s="87"/>
      <c r="Y137" s="87"/>
      <c r="Z137" s="725">
        <f t="shared" si="44"/>
        <v>5000897.28</v>
      </c>
      <c r="AA137" s="87"/>
      <c r="AB137" s="86"/>
      <c r="AC137" s="87"/>
      <c r="AD137" s="18">
        <v>2023</v>
      </c>
      <c r="AE137" s="18">
        <v>2023</v>
      </c>
      <c r="AF137" s="25"/>
      <c r="AG137" s="91"/>
    </row>
    <row r="138" spans="1:33" s="26" customFormat="1" ht="24" customHeight="1">
      <c r="A138" s="18">
        <f t="shared" si="41"/>
        <v>118</v>
      </c>
      <c r="B138" s="77" t="s">
        <v>418</v>
      </c>
      <c r="C138" s="724">
        <f t="shared" ref="C138" si="45">SUM(D138:X138)-(E138+J138+N138)</f>
        <v>3159313.72</v>
      </c>
      <c r="D138" s="78"/>
      <c r="E138" s="80"/>
      <c r="F138" s="78"/>
      <c r="G138" s="78"/>
      <c r="H138" s="78"/>
      <c r="I138" s="78"/>
      <c r="J138" s="742"/>
      <c r="K138" s="78"/>
      <c r="L138" s="78"/>
      <c r="M138" s="78"/>
      <c r="N138" s="878">
        <v>1</v>
      </c>
      <c r="O138" s="746">
        <f>3037801.66*N138</f>
        <v>3037801.66</v>
      </c>
      <c r="P138" s="746"/>
      <c r="Q138" s="746"/>
      <c r="R138" s="746"/>
      <c r="S138" s="746"/>
      <c r="T138" s="751"/>
      <c r="U138" s="751"/>
      <c r="V138" s="746">
        <f>75945.04*N138</f>
        <v>75945.039999999994</v>
      </c>
      <c r="W138" s="746">
        <f>O138*1.5/100</f>
        <v>45567.02</v>
      </c>
      <c r="X138" s="746"/>
      <c r="Y138" s="748"/>
      <c r="Z138" s="746"/>
      <c r="AA138" s="749"/>
      <c r="AB138" s="748">
        <f>SUM(O138+V138+W138)</f>
        <v>3159313.72</v>
      </c>
      <c r="AC138" s="21"/>
      <c r="AD138" s="80">
        <v>2023</v>
      </c>
      <c r="AE138" s="80">
        <v>2024</v>
      </c>
      <c r="AF138" s="25"/>
      <c r="AG138" s="91"/>
    </row>
    <row r="139" spans="1:33" s="26" customFormat="1" ht="24" customHeight="1">
      <c r="A139" s="18">
        <f t="shared" si="41"/>
        <v>119</v>
      </c>
      <c r="B139" s="77" t="s">
        <v>971</v>
      </c>
      <c r="C139" s="725">
        <f t="shared" si="23"/>
        <v>1851696.13</v>
      </c>
      <c r="D139" s="9"/>
      <c r="E139" s="21">
        <v>1</v>
      </c>
      <c r="F139" s="725">
        <v>1604744.95</v>
      </c>
      <c r="G139" s="12"/>
      <c r="H139" s="13"/>
      <c r="I139" s="13"/>
      <c r="J139" s="87"/>
      <c r="K139" s="3"/>
      <c r="L139" s="12"/>
      <c r="M139" s="22"/>
      <c r="N139" s="204"/>
      <c r="O139" s="22"/>
      <c r="P139" s="22"/>
      <c r="Q139" s="12"/>
      <c r="R139" s="9"/>
      <c r="S139" s="9"/>
      <c r="T139" s="108"/>
      <c r="U139" s="108"/>
      <c r="V139" s="5">
        <v>222880</v>
      </c>
      <c r="W139" s="746">
        <v>24071.18</v>
      </c>
      <c r="X139" s="21"/>
      <c r="Y139" s="21"/>
      <c r="Z139" s="9">
        <f>C139</f>
        <v>1851696.13</v>
      </c>
      <c r="AA139" s="21"/>
      <c r="AB139" s="24"/>
      <c r="AC139" s="21"/>
      <c r="AD139" s="18">
        <v>2023</v>
      </c>
      <c r="AE139" s="18">
        <v>2023</v>
      </c>
      <c r="AF139" s="25"/>
      <c r="AG139" s="91"/>
    </row>
    <row r="140" spans="1:33" s="26" customFormat="1" ht="24" customHeight="1">
      <c r="A140" s="18">
        <f t="shared" si="41"/>
        <v>120</v>
      </c>
      <c r="B140" s="77" t="s">
        <v>972</v>
      </c>
      <c r="C140" s="725">
        <f t="shared" ref="C140" si="46">D140+F140+G140+H140+I140+K140+L140+M140+O140+P140+Q140+R140+S140+W140+V140+X140</f>
        <v>1713935.38</v>
      </c>
      <c r="D140" s="9"/>
      <c r="E140" s="21">
        <v>1</v>
      </c>
      <c r="F140" s="725">
        <v>1483784.21</v>
      </c>
      <c r="G140" s="12"/>
      <c r="H140" s="13"/>
      <c r="I140" s="13"/>
      <c r="J140" s="87"/>
      <c r="K140" s="3"/>
      <c r="L140" s="12"/>
      <c r="M140" s="22"/>
      <c r="N140" s="204"/>
      <c r="O140" s="22"/>
      <c r="P140" s="22"/>
      <c r="Q140" s="12"/>
      <c r="R140" s="9"/>
      <c r="S140" s="9"/>
      <c r="T140" s="108"/>
      <c r="U140" s="108"/>
      <c r="V140" s="5">
        <v>206079.99</v>
      </c>
      <c r="W140" s="746">
        <v>24071.18</v>
      </c>
      <c r="X140" s="21"/>
      <c r="Y140" s="21"/>
      <c r="Z140" s="9">
        <f>C140</f>
        <v>1713935.38</v>
      </c>
      <c r="AA140" s="21"/>
      <c r="AB140" s="24"/>
      <c r="AC140" s="21"/>
      <c r="AD140" s="18">
        <v>2023</v>
      </c>
      <c r="AE140" s="18">
        <v>2023</v>
      </c>
      <c r="AF140" s="25"/>
      <c r="AG140" s="91"/>
    </row>
    <row r="141" spans="1:33" s="26" customFormat="1" ht="24" customHeight="1">
      <c r="A141" s="18">
        <f t="shared" si="41"/>
        <v>121</v>
      </c>
      <c r="B141" s="77" t="s">
        <v>970</v>
      </c>
      <c r="C141" s="725">
        <f t="shared" si="23"/>
        <v>16444312.01</v>
      </c>
      <c r="D141" s="9"/>
      <c r="E141" s="21"/>
      <c r="F141" s="21"/>
      <c r="G141" s="12"/>
      <c r="H141" s="13"/>
      <c r="I141" s="13"/>
      <c r="J141" s="87"/>
      <c r="K141" s="11"/>
      <c r="L141" s="12"/>
      <c r="M141" s="22"/>
      <c r="N141" s="204"/>
      <c r="O141" s="22"/>
      <c r="P141" s="12">
        <f>ROUND((4304.4+89.1)*3517.3,2)</f>
        <v>15453257.550000001</v>
      </c>
      <c r="Q141" s="12"/>
      <c r="R141" s="9"/>
      <c r="S141" s="9"/>
      <c r="T141" s="108"/>
      <c r="U141" s="108"/>
      <c r="V141" s="5">
        <v>759255.6</v>
      </c>
      <c r="W141" s="746">
        <v>231798.86</v>
      </c>
      <c r="X141" s="21"/>
      <c r="Y141" s="21"/>
      <c r="Z141" s="21"/>
      <c r="AA141" s="21"/>
      <c r="AB141" s="24">
        <f t="shared" si="28"/>
        <v>16444312.01</v>
      </c>
      <c r="AC141" s="21"/>
      <c r="AD141" s="18">
        <v>2023</v>
      </c>
      <c r="AE141" s="18">
        <v>2023</v>
      </c>
      <c r="AF141" s="25"/>
      <c r="AG141" s="91"/>
    </row>
    <row r="142" spans="1:33" s="26" customFormat="1" ht="24" customHeight="1">
      <c r="A142" s="18">
        <f t="shared" si="41"/>
        <v>122</v>
      </c>
      <c r="B142" s="77" t="s">
        <v>1206</v>
      </c>
      <c r="C142" s="724">
        <f t="shared" ref="C142" si="47">SUM(D142:X142)-(E142+J142+N142)</f>
        <v>8374206.5700000003</v>
      </c>
      <c r="D142" s="78"/>
      <c r="E142" s="80"/>
      <c r="F142" s="78"/>
      <c r="G142" s="78"/>
      <c r="H142" s="78"/>
      <c r="I142" s="78"/>
      <c r="J142" s="724"/>
      <c r="K142" s="78"/>
      <c r="L142" s="78"/>
      <c r="M142" s="78"/>
      <c r="N142" s="878">
        <v>2</v>
      </c>
      <c r="O142" s="746">
        <f>4050402.21*N142</f>
        <v>8100804.4199999999</v>
      </c>
      <c r="P142" s="746"/>
      <c r="Q142" s="746"/>
      <c r="R142" s="746"/>
      <c r="S142" s="746"/>
      <c r="T142" s="751"/>
      <c r="U142" s="751"/>
      <c r="V142" s="746">
        <f>75945.04*N142</f>
        <v>151890.07999999999</v>
      </c>
      <c r="W142" s="746">
        <f>O142*1.5/100</f>
        <v>121512.07</v>
      </c>
      <c r="X142" s="746"/>
      <c r="Y142" s="749"/>
      <c r="Z142" s="746"/>
      <c r="AA142" s="749"/>
      <c r="AB142" s="748">
        <f>SUM(O142+V142+W142)</f>
        <v>8374206.5700000003</v>
      </c>
      <c r="AC142" s="21"/>
      <c r="AD142" s="80">
        <v>2023</v>
      </c>
      <c r="AE142" s="80">
        <v>2024</v>
      </c>
      <c r="AF142" s="25"/>
      <c r="AG142" s="91"/>
    </row>
    <row r="143" spans="1:33" s="26" customFormat="1" ht="24" customHeight="1">
      <c r="A143" s="18">
        <f t="shared" si="41"/>
        <v>123</v>
      </c>
      <c r="B143" s="77" t="s">
        <v>888</v>
      </c>
      <c r="C143" s="725">
        <f t="shared" si="23"/>
        <v>17350744.07</v>
      </c>
      <c r="D143" s="725">
        <f>ROUND(2303.4*589.88,2)</f>
        <v>1358729.59</v>
      </c>
      <c r="E143" s="87"/>
      <c r="F143" s="87"/>
      <c r="G143" s="727">
        <f>ROUND(2303.4*596.38,2)</f>
        <v>1373701.69</v>
      </c>
      <c r="H143" s="201">
        <f>ROUND(2303.4*1074.75,2)</f>
        <v>2475579.15</v>
      </c>
      <c r="I143" s="201">
        <f>ROUND(2303.4*871.5,2)</f>
        <v>2007413.1</v>
      </c>
      <c r="J143" s="87"/>
      <c r="K143" s="750"/>
      <c r="L143" s="727">
        <f>ROUND(2303.4*616.25,2)</f>
        <v>1419470.25</v>
      </c>
      <c r="M143" s="22"/>
      <c r="N143" s="204"/>
      <c r="O143" s="22"/>
      <c r="P143" s="22"/>
      <c r="Q143" s="12">
        <f>ROUND(2303.4*1954.25,2)</f>
        <v>4501419.45</v>
      </c>
      <c r="R143" s="9"/>
      <c r="S143" s="9">
        <f>ROUND(2303.4*1135.41,2)</f>
        <v>2615303.39</v>
      </c>
      <c r="T143" s="108"/>
      <c r="U143" s="108"/>
      <c r="V143" s="5">
        <v>1362853.2</v>
      </c>
      <c r="W143" s="746">
        <v>236274.25</v>
      </c>
      <c r="X143" s="21"/>
      <c r="Y143" s="21"/>
      <c r="Z143" s="21"/>
      <c r="AA143" s="21"/>
      <c r="AB143" s="24">
        <f t="shared" si="28"/>
        <v>17350744.07</v>
      </c>
      <c r="AC143" s="21"/>
      <c r="AD143" s="18">
        <v>2023</v>
      </c>
      <c r="AE143" s="18">
        <v>2023</v>
      </c>
      <c r="AF143" s="25"/>
      <c r="AG143" s="91"/>
    </row>
    <row r="144" spans="1:33" s="26" customFormat="1" ht="24" customHeight="1">
      <c r="A144" s="18">
        <f t="shared" si="41"/>
        <v>124</v>
      </c>
      <c r="B144" s="77" t="s">
        <v>78</v>
      </c>
      <c r="C144" s="725">
        <f t="shared" si="23"/>
        <v>4600689.72</v>
      </c>
      <c r="D144" s="725"/>
      <c r="E144" s="87"/>
      <c r="F144" s="87"/>
      <c r="G144" s="727"/>
      <c r="H144" s="201"/>
      <c r="I144" s="201"/>
      <c r="J144" s="87"/>
      <c r="K144" s="7"/>
      <c r="L144" s="727"/>
      <c r="M144" s="22"/>
      <c r="N144" s="204"/>
      <c r="O144" s="22"/>
      <c r="P144" s="9">
        <v>4380952.38</v>
      </c>
      <c r="Q144" s="12"/>
      <c r="R144" s="9"/>
      <c r="S144" s="9"/>
      <c r="T144" s="108"/>
      <c r="U144" s="108"/>
      <c r="V144" s="5">
        <f>P144*5%</f>
        <v>219047.62</v>
      </c>
      <c r="W144" s="746">
        <v>689.72</v>
      </c>
      <c r="X144" s="21"/>
      <c r="Y144" s="21"/>
      <c r="Z144" s="24">
        <f>C144</f>
        <v>4600689.72</v>
      </c>
      <c r="AA144" s="21"/>
      <c r="AB144" s="24">
        <f>C144-Z144</f>
        <v>0</v>
      </c>
      <c r="AC144" s="21"/>
      <c r="AD144" s="18">
        <v>2023</v>
      </c>
      <c r="AE144" s="18">
        <v>2023</v>
      </c>
      <c r="AF144" s="25"/>
      <c r="AG144" s="91"/>
    </row>
    <row r="145" spans="1:33" s="26" customFormat="1" ht="24" customHeight="1">
      <c r="A145" s="18">
        <f t="shared" si="41"/>
        <v>125</v>
      </c>
      <c r="B145" s="434" t="s">
        <v>1006</v>
      </c>
      <c r="C145" s="563">
        <f t="shared" si="23"/>
        <v>1060002</v>
      </c>
      <c r="D145" s="428"/>
      <c r="E145" s="420"/>
      <c r="F145" s="420"/>
      <c r="G145" s="421"/>
      <c r="H145" s="429"/>
      <c r="I145" s="429"/>
      <c r="J145" s="426"/>
      <c r="K145" s="14"/>
      <c r="L145" s="421"/>
      <c r="M145" s="422"/>
      <c r="N145" s="737"/>
      <c r="O145" s="422"/>
      <c r="P145" s="428">
        <v>1060002</v>
      </c>
      <c r="Q145" s="421"/>
      <c r="R145" s="428"/>
      <c r="S145" s="428"/>
      <c r="T145" s="428"/>
      <c r="U145" s="428"/>
      <c r="V145" s="431"/>
      <c r="W145" s="752"/>
      <c r="X145" s="420"/>
      <c r="Y145" s="420"/>
      <c r="Z145" s="425"/>
      <c r="AA145" s="420"/>
      <c r="AB145" s="425">
        <f>C145</f>
        <v>1060002</v>
      </c>
      <c r="AC145" s="420"/>
      <c r="AD145" s="426">
        <v>2023</v>
      </c>
      <c r="AE145" s="426">
        <v>2023</v>
      </c>
      <c r="AF145" s="91"/>
      <c r="AG145" s="91"/>
    </row>
    <row r="146" spans="1:33" s="26" customFormat="1" ht="24" customHeight="1">
      <c r="A146" s="18">
        <f t="shared" si="41"/>
        <v>126</v>
      </c>
      <c r="B146" s="77" t="s">
        <v>419</v>
      </c>
      <c r="C146" s="724">
        <f t="shared" ref="C146:C156" si="48">SUM(D146:X146)-(E146+J146+N146)</f>
        <v>8462470.2899999991</v>
      </c>
      <c r="D146" s="78"/>
      <c r="E146" s="80"/>
      <c r="F146" s="78"/>
      <c r="G146" s="78"/>
      <c r="H146" s="78"/>
      <c r="I146" s="78"/>
      <c r="J146" s="39"/>
      <c r="K146" s="78"/>
      <c r="L146" s="78"/>
      <c r="M146" s="78"/>
      <c r="N146" s="878"/>
      <c r="O146" s="746"/>
      <c r="P146" s="746">
        <v>5598079.4400000004</v>
      </c>
      <c r="Q146" s="746"/>
      <c r="R146" s="746">
        <v>2276368.38</v>
      </c>
      <c r="S146" s="746"/>
      <c r="T146" s="751"/>
      <c r="U146" s="751"/>
      <c r="V146" s="746">
        <v>526325.98</v>
      </c>
      <c r="W146" s="746">
        <v>61696.49</v>
      </c>
      <c r="X146" s="746"/>
      <c r="Y146" s="749"/>
      <c r="Z146" s="746">
        <v>8462470.2899999991</v>
      </c>
      <c r="AA146" s="749"/>
      <c r="AB146" s="748"/>
      <c r="AC146" s="21"/>
      <c r="AD146" s="18">
        <v>2023</v>
      </c>
      <c r="AE146" s="18">
        <v>2023</v>
      </c>
      <c r="AF146" s="25"/>
      <c r="AG146" s="91"/>
    </row>
    <row r="147" spans="1:33" s="26" customFormat="1" ht="24" customHeight="1">
      <c r="A147" s="18">
        <f t="shared" si="41"/>
        <v>127</v>
      </c>
      <c r="B147" s="77" t="s">
        <v>420</v>
      </c>
      <c r="C147" s="724">
        <f t="shared" si="48"/>
        <v>8374206.5700000003</v>
      </c>
      <c r="D147" s="78"/>
      <c r="E147" s="80"/>
      <c r="F147" s="78"/>
      <c r="G147" s="78"/>
      <c r="H147" s="78"/>
      <c r="I147" s="78"/>
      <c r="J147" s="39"/>
      <c r="K147" s="78"/>
      <c r="L147" s="78"/>
      <c r="M147" s="78"/>
      <c r="N147" s="878">
        <v>2</v>
      </c>
      <c r="O147" s="746">
        <f>4050402.21*N147</f>
        <v>8100804.4199999999</v>
      </c>
      <c r="P147" s="746"/>
      <c r="Q147" s="746"/>
      <c r="R147" s="746"/>
      <c r="S147" s="746"/>
      <c r="T147" s="751"/>
      <c r="U147" s="751"/>
      <c r="V147" s="746">
        <f>75945.04*N147</f>
        <v>151890.07999999999</v>
      </c>
      <c r="W147" s="746">
        <f>O147*1.5/100</f>
        <v>121512.07</v>
      </c>
      <c r="X147" s="746"/>
      <c r="Y147" s="749"/>
      <c r="Z147" s="746"/>
      <c r="AA147" s="749"/>
      <c r="AB147" s="748">
        <f>SUM(O147+V147+W147)</f>
        <v>8374206.5700000003</v>
      </c>
      <c r="AC147" s="21"/>
      <c r="AD147" s="80">
        <v>2023</v>
      </c>
      <c r="AE147" s="80">
        <v>2024</v>
      </c>
      <c r="AF147" s="25"/>
      <c r="AG147" s="91"/>
    </row>
    <row r="148" spans="1:33" s="26" customFormat="1" ht="24" customHeight="1">
      <c r="A148" s="18">
        <f t="shared" si="41"/>
        <v>128</v>
      </c>
      <c r="B148" s="77" t="s">
        <v>421</v>
      </c>
      <c r="C148" s="724">
        <f t="shared" si="48"/>
        <v>8374206.5700000003</v>
      </c>
      <c r="D148" s="78"/>
      <c r="E148" s="80"/>
      <c r="F148" s="78"/>
      <c r="G148" s="78"/>
      <c r="H148" s="78"/>
      <c r="I148" s="78"/>
      <c r="J148" s="39"/>
      <c r="K148" s="78"/>
      <c r="L148" s="78"/>
      <c r="M148" s="78"/>
      <c r="N148" s="878">
        <v>2</v>
      </c>
      <c r="O148" s="746">
        <f>4050402.21*N148</f>
        <v>8100804.4199999999</v>
      </c>
      <c r="P148" s="746"/>
      <c r="Q148" s="746"/>
      <c r="R148" s="746"/>
      <c r="S148" s="746"/>
      <c r="T148" s="751"/>
      <c r="U148" s="751"/>
      <c r="V148" s="746">
        <f>75945.04*N148</f>
        <v>151890.07999999999</v>
      </c>
      <c r="W148" s="746">
        <f t="shared" ref="W148:W156" si="49">O148*1.5/100</f>
        <v>121512.07</v>
      </c>
      <c r="X148" s="746"/>
      <c r="Y148" s="749"/>
      <c r="Z148" s="746"/>
      <c r="AA148" s="749"/>
      <c r="AB148" s="748">
        <f t="shared" ref="AB148:AB156" si="50">SUM(O148+V148+W148)</f>
        <v>8374206.5700000003</v>
      </c>
      <c r="AC148" s="21"/>
      <c r="AD148" s="80">
        <v>2023</v>
      </c>
      <c r="AE148" s="80">
        <v>2024</v>
      </c>
      <c r="AF148" s="25"/>
      <c r="AG148" s="91"/>
    </row>
    <row r="149" spans="1:33" s="26" customFormat="1" ht="24" customHeight="1">
      <c r="A149" s="18">
        <f t="shared" si="41"/>
        <v>129</v>
      </c>
      <c r="B149" s="77" t="s">
        <v>422</v>
      </c>
      <c r="C149" s="724">
        <f t="shared" si="48"/>
        <v>8374206.5700000003</v>
      </c>
      <c r="D149" s="78"/>
      <c r="E149" s="80"/>
      <c r="F149" s="78"/>
      <c r="G149" s="78"/>
      <c r="H149" s="78"/>
      <c r="I149" s="78"/>
      <c r="J149" s="39"/>
      <c r="K149" s="78"/>
      <c r="L149" s="78"/>
      <c r="M149" s="78"/>
      <c r="N149" s="878">
        <v>2</v>
      </c>
      <c r="O149" s="746">
        <f>4050402.21*N149</f>
        <v>8100804.4199999999</v>
      </c>
      <c r="P149" s="746"/>
      <c r="Q149" s="746"/>
      <c r="R149" s="746"/>
      <c r="S149" s="746"/>
      <c r="T149" s="751"/>
      <c r="U149" s="751"/>
      <c r="V149" s="746">
        <f>75945.04*N149</f>
        <v>151890.07999999999</v>
      </c>
      <c r="W149" s="746">
        <f t="shared" si="49"/>
        <v>121512.07</v>
      </c>
      <c r="X149" s="746"/>
      <c r="Y149" s="749"/>
      <c r="Z149" s="746"/>
      <c r="AA149" s="749"/>
      <c r="AB149" s="748">
        <f t="shared" si="50"/>
        <v>8374206.5700000003</v>
      </c>
      <c r="AC149" s="21"/>
      <c r="AD149" s="80">
        <v>2023</v>
      </c>
      <c r="AE149" s="80">
        <v>2024</v>
      </c>
      <c r="AF149" s="25"/>
      <c r="AG149" s="91"/>
    </row>
    <row r="150" spans="1:33" s="26" customFormat="1" ht="24" customHeight="1">
      <c r="A150" s="18">
        <f t="shared" si="41"/>
        <v>130</v>
      </c>
      <c r="B150" s="77" t="s">
        <v>423</v>
      </c>
      <c r="C150" s="724">
        <f t="shared" si="48"/>
        <v>6318627.4500000002</v>
      </c>
      <c r="D150" s="78"/>
      <c r="E150" s="80"/>
      <c r="F150" s="78"/>
      <c r="G150" s="78"/>
      <c r="H150" s="78"/>
      <c r="I150" s="78"/>
      <c r="J150" s="39"/>
      <c r="K150" s="78"/>
      <c r="L150" s="78"/>
      <c r="M150" s="78"/>
      <c r="N150" s="878">
        <v>2</v>
      </c>
      <c r="O150" s="746">
        <f t="shared" ref="O150:O156" si="51">3037801.66*N150</f>
        <v>6075603.3200000003</v>
      </c>
      <c r="P150" s="746"/>
      <c r="Q150" s="746"/>
      <c r="R150" s="746"/>
      <c r="S150" s="746"/>
      <c r="T150" s="751"/>
      <c r="U150" s="751"/>
      <c r="V150" s="746">
        <f t="shared" ref="V150:V156" si="52">75945.04*N150</f>
        <v>151890.07999999999</v>
      </c>
      <c r="W150" s="746">
        <f t="shared" si="49"/>
        <v>91134.05</v>
      </c>
      <c r="X150" s="746"/>
      <c r="Y150" s="749"/>
      <c r="Z150" s="746"/>
      <c r="AA150" s="749"/>
      <c r="AB150" s="748">
        <f t="shared" si="50"/>
        <v>6318627.4500000002</v>
      </c>
      <c r="AC150" s="21"/>
      <c r="AD150" s="80">
        <v>2023</v>
      </c>
      <c r="AE150" s="80">
        <v>2024</v>
      </c>
      <c r="AF150" s="25"/>
      <c r="AG150" s="91"/>
    </row>
    <row r="151" spans="1:33" s="26" customFormat="1" ht="24" customHeight="1">
      <c r="A151" s="18">
        <f t="shared" si="41"/>
        <v>131</v>
      </c>
      <c r="B151" s="77" t="s">
        <v>1207</v>
      </c>
      <c r="C151" s="724">
        <f t="shared" si="48"/>
        <v>3159313.72</v>
      </c>
      <c r="D151" s="78"/>
      <c r="E151" s="80"/>
      <c r="F151" s="78"/>
      <c r="G151" s="78"/>
      <c r="H151" s="78"/>
      <c r="I151" s="78"/>
      <c r="J151" s="39"/>
      <c r="K151" s="78"/>
      <c r="L151" s="78"/>
      <c r="M151" s="78"/>
      <c r="N151" s="878">
        <v>1</v>
      </c>
      <c r="O151" s="746">
        <f t="shared" si="51"/>
        <v>3037801.66</v>
      </c>
      <c r="P151" s="746"/>
      <c r="Q151" s="746"/>
      <c r="R151" s="746"/>
      <c r="S151" s="746"/>
      <c r="T151" s="751"/>
      <c r="U151" s="751"/>
      <c r="V151" s="746">
        <f t="shared" si="52"/>
        <v>75945.039999999994</v>
      </c>
      <c r="W151" s="746">
        <f t="shared" si="49"/>
        <v>45567.02</v>
      </c>
      <c r="X151" s="746"/>
      <c r="Y151" s="749"/>
      <c r="Z151" s="746"/>
      <c r="AA151" s="749"/>
      <c r="AB151" s="748">
        <f t="shared" si="50"/>
        <v>3159313.72</v>
      </c>
      <c r="AC151" s="21"/>
      <c r="AD151" s="80">
        <v>2023</v>
      </c>
      <c r="AE151" s="80">
        <v>2024</v>
      </c>
      <c r="AF151" s="25"/>
      <c r="AG151" s="91"/>
    </row>
    <row r="152" spans="1:33" s="26" customFormat="1" ht="24" customHeight="1">
      <c r="A152" s="18">
        <f t="shared" si="41"/>
        <v>132</v>
      </c>
      <c r="B152" s="77" t="s">
        <v>424</v>
      </c>
      <c r="C152" s="724">
        <f t="shared" si="48"/>
        <v>6318627.4500000002</v>
      </c>
      <c r="D152" s="78"/>
      <c r="E152" s="80"/>
      <c r="F152" s="78"/>
      <c r="G152" s="78"/>
      <c r="H152" s="78"/>
      <c r="I152" s="78"/>
      <c r="J152" s="39"/>
      <c r="K152" s="78"/>
      <c r="L152" s="78"/>
      <c r="M152" s="78"/>
      <c r="N152" s="878">
        <v>2</v>
      </c>
      <c r="O152" s="746">
        <f t="shared" si="51"/>
        <v>6075603.3200000003</v>
      </c>
      <c r="P152" s="746"/>
      <c r="Q152" s="746"/>
      <c r="R152" s="746"/>
      <c r="S152" s="746"/>
      <c r="T152" s="751"/>
      <c r="U152" s="751"/>
      <c r="V152" s="746">
        <f t="shared" si="52"/>
        <v>151890.07999999999</v>
      </c>
      <c r="W152" s="746">
        <f t="shared" si="49"/>
        <v>91134.05</v>
      </c>
      <c r="X152" s="746"/>
      <c r="Y152" s="749"/>
      <c r="Z152" s="746"/>
      <c r="AA152" s="749"/>
      <c r="AB152" s="748">
        <f t="shared" si="50"/>
        <v>6318627.4500000002</v>
      </c>
      <c r="AC152" s="21"/>
      <c r="AD152" s="80">
        <v>2023</v>
      </c>
      <c r="AE152" s="80">
        <v>2024</v>
      </c>
      <c r="AF152" s="25"/>
      <c r="AG152" s="91"/>
    </row>
    <row r="153" spans="1:33" s="26" customFormat="1" ht="24" customHeight="1">
      <c r="A153" s="18">
        <f t="shared" si="41"/>
        <v>133</v>
      </c>
      <c r="B153" s="77" t="s">
        <v>425</v>
      </c>
      <c r="C153" s="724">
        <f t="shared" si="48"/>
        <v>15796568.619999999</v>
      </c>
      <c r="D153" s="78"/>
      <c r="E153" s="80"/>
      <c r="F153" s="78"/>
      <c r="G153" s="78"/>
      <c r="H153" s="78"/>
      <c r="I153" s="78"/>
      <c r="J153" s="39"/>
      <c r="K153" s="78"/>
      <c r="L153" s="78"/>
      <c r="M153" s="78"/>
      <c r="N153" s="878">
        <v>5</v>
      </c>
      <c r="O153" s="746">
        <f t="shared" si="51"/>
        <v>15189008.300000001</v>
      </c>
      <c r="P153" s="746"/>
      <c r="Q153" s="746"/>
      <c r="R153" s="746"/>
      <c r="S153" s="746"/>
      <c r="T153" s="751"/>
      <c r="U153" s="751"/>
      <c r="V153" s="746">
        <f t="shared" si="52"/>
        <v>379725.2</v>
      </c>
      <c r="W153" s="746">
        <f t="shared" si="49"/>
        <v>227835.12</v>
      </c>
      <c r="X153" s="746"/>
      <c r="Y153" s="749"/>
      <c r="Z153" s="746"/>
      <c r="AA153" s="749"/>
      <c r="AB153" s="748">
        <f t="shared" si="50"/>
        <v>15796568.619999999</v>
      </c>
      <c r="AC153" s="21"/>
      <c r="AD153" s="80">
        <v>2023</v>
      </c>
      <c r="AE153" s="80">
        <v>2024</v>
      </c>
      <c r="AF153" s="25"/>
      <c r="AG153" s="91"/>
    </row>
    <row r="154" spans="1:33" s="26" customFormat="1" ht="24" customHeight="1">
      <c r="A154" s="18">
        <f t="shared" si="41"/>
        <v>134</v>
      </c>
      <c r="B154" s="77" t="s">
        <v>426</v>
      </c>
      <c r="C154" s="724">
        <f t="shared" si="48"/>
        <v>3159313.72</v>
      </c>
      <c r="D154" s="78"/>
      <c r="E154" s="80"/>
      <c r="F154" s="78"/>
      <c r="G154" s="78"/>
      <c r="H154" s="78"/>
      <c r="I154" s="78"/>
      <c r="J154" s="39"/>
      <c r="K154" s="78"/>
      <c r="L154" s="78"/>
      <c r="M154" s="78"/>
      <c r="N154" s="878">
        <v>1</v>
      </c>
      <c r="O154" s="746">
        <f t="shared" si="51"/>
        <v>3037801.66</v>
      </c>
      <c r="P154" s="746"/>
      <c r="Q154" s="746"/>
      <c r="R154" s="746"/>
      <c r="S154" s="746"/>
      <c r="T154" s="751"/>
      <c r="U154" s="751"/>
      <c r="V154" s="746">
        <f t="shared" si="52"/>
        <v>75945.039999999994</v>
      </c>
      <c r="W154" s="746">
        <f t="shared" si="49"/>
        <v>45567.02</v>
      </c>
      <c r="X154" s="746"/>
      <c r="Y154" s="749"/>
      <c r="Z154" s="746"/>
      <c r="AA154" s="749"/>
      <c r="AB154" s="748">
        <f t="shared" si="50"/>
        <v>3159313.72</v>
      </c>
      <c r="AC154" s="21"/>
      <c r="AD154" s="80">
        <v>2023</v>
      </c>
      <c r="AE154" s="80">
        <v>2024</v>
      </c>
      <c r="AF154" s="25"/>
      <c r="AG154" s="91"/>
    </row>
    <row r="155" spans="1:33" s="26" customFormat="1" ht="24" customHeight="1">
      <c r="A155" s="18">
        <f t="shared" si="41"/>
        <v>135</v>
      </c>
      <c r="B155" s="77" t="s">
        <v>427</v>
      </c>
      <c r="C155" s="724">
        <f t="shared" si="48"/>
        <v>6318627.4500000002</v>
      </c>
      <c r="D155" s="78"/>
      <c r="E155" s="80"/>
      <c r="F155" s="78"/>
      <c r="G155" s="78"/>
      <c r="H155" s="78"/>
      <c r="I155" s="78"/>
      <c r="J155" s="39"/>
      <c r="K155" s="78"/>
      <c r="L155" s="78"/>
      <c r="M155" s="78"/>
      <c r="N155" s="878">
        <v>2</v>
      </c>
      <c r="O155" s="746">
        <f t="shared" si="51"/>
        <v>6075603.3200000003</v>
      </c>
      <c r="P155" s="746"/>
      <c r="Q155" s="746"/>
      <c r="R155" s="746"/>
      <c r="S155" s="746"/>
      <c r="T155" s="751"/>
      <c r="U155" s="751"/>
      <c r="V155" s="746">
        <f t="shared" si="52"/>
        <v>151890.07999999999</v>
      </c>
      <c r="W155" s="746">
        <f t="shared" si="49"/>
        <v>91134.05</v>
      </c>
      <c r="X155" s="746"/>
      <c r="Y155" s="749"/>
      <c r="Z155" s="746"/>
      <c r="AA155" s="749"/>
      <c r="AB155" s="748">
        <f t="shared" si="50"/>
        <v>6318627.4500000002</v>
      </c>
      <c r="AC155" s="21"/>
      <c r="AD155" s="80">
        <v>2023</v>
      </c>
      <c r="AE155" s="80">
        <v>2024</v>
      </c>
      <c r="AF155" s="25"/>
      <c r="AG155" s="91"/>
    </row>
    <row r="156" spans="1:33" s="26" customFormat="1" ht="24" customHeight="1">
      <c r="A156" s="18">
        <f t="shared" si="41"/>
        <v>136</v>
      </c>
      <c r="B156" s="77" t="s">
        <v>428</v>
      </c>
      <c r="C156" s="748">
        <f t="shared" si="48"/>
        <v>6318627.4500000002</v>
      </c>
      <c r="D156" s="600"/>
      <c r="E156" s="742"/>
      <c r="F156" s="600"/>
      <c r="G156" s="600"/>
      <c r="H156" s="600"/>
      <c r="I156" s="600"/>
      <c r="J156" s="724"/>
      <c r="K156" s="600"/>
      <c r="L156" s="600"/>
      <c r="M156" s="600"/>
      <c r="N156" s="878">
        <v>2</v>
      </c>
      <c r="O156" s="600">
        <f t="shared" si="51"/>
        <v>6075603.3200000003</v>
      </c>
      <c r="P156" s="600"/>
      <c r="Q156" s="600"/>
      <c r="R156" s="600"/>
      <c r="S156" s="600"/>
      <c r="T156" s="741"/>
      <c r="U156" s="741"/>
      <c r="V156" s="600">
        <f t="shared" si="52"/>
        <v>151890.07999999999</v>
      </c>
      <c r="W156" s="600">
        <f t="shared" si="49"/>
        <v>91134.05</v>
      </c>
      <c r="X156" s="600"/>
      <c r="Y156" s="743"/>
      <c r="Z156" s="600"/>
      <c r="AA156" s="743"/>
      <c r="AB156" s="724">
        <f t="shared" si="50"/>
        <v>6318627.4500000002</v>
      </c>
      <c r="AC156" s="18"/>
      <c r="AD156" s="80">
        <v>2023</v>
      </c>
      <c r="AE156" s="80">
        <v>2024</v>
      </c>
      <c r="AF156" s="25"/>
      <c r="AG156" s="91"/>
    </row>
    <row r="157" spans="1:33" s="26" customFormat="1" ht="24" customHeight="1">
      <c r="A157" s="18">
        <f t="shared" si="41"/>
        <v>137</v>
      </c>
      <c r="B157" s="77" t="s">
        <v>349</v>
      </c>
      <c r="C157" s="9">
        <f t="shared" si="23"/>
        <v>124897.36</v>
      </c>
      <c r="D157" s="725"/>
      <c r="E157" s="87"/>
      <c r="F157" s="87"/>
      <c r="G157" s="727"/>
      <c r="H157" s="201"/>
      <c r="I157" s="201"/>
      <c r="J157" s="87"/>
      <c r="K157" s="3"/>
      <c r="L157" s="727"/>
      <c r="M157" s="204"/>
      <c r="N157" s="204"/>
      <c r="O157" s="204"/>
      <c r="P157" s="727"/>
      <c r="Q157" s="727"/>
      <c r="R157" s="725"/>
      <c r="S157" s="725"/>
      <c r="T157" s="739"/>
      <c r="U157" s="739"/>
      <c r="V157" s="3">
        <v>124897.36</v>
      </c>
      <c r="W157" s="600"/>
      <c r="X157" s="87"/>
      <c r="Y157" s="87"/>
      <c r="Z157" s="86">
        <f>C157</f>
        <v>124897.36</v>
      </c>
      <c r="AA157" s="87"/>
      <c r="AB157" s="86"/>
      <c r="AC157" s="18"/>
      <c r="AD157" s="18">
        <v>2023</v>
      </c>
      <c r="AE157" s="18">
        <v>2023</v>
      </c>
      <c r="AF157" s="25"/>
      <c r="AG157" s="91"/>
    </row>
    <row r="158" spans="1:33" s="26" customFormat="1" ht="24" customHeight="1">
      <c r="A158" s="18">
        <f t="shared" si="41"/>
        <v>138</v>
      </c>
      <c r="B158" s="77" t="s">
        <v>452</v>
      </c>
      <c r="C158" s="9">
        <f t="shared" si="23"/>
        <v>92557.02</v>
      </c>
      <c r="D158" s="725"/>
      <c r="E158" s="87"/>
      <c r="F158" s="87"/>
      <c r="G158" s="727"/>
      <c r="H158" s="201"/>
      <c r="I158" s="201"/>
      <c r="J158" s="87"/>
      <c r="K158" s="14"/>
      <c r="L158" s="727"/>
      <c r="M158" s="204"/>
      <c r="N158" s="204"/>
      <c r="O158" s="204"/>
      <c r="P158" s="727"/>
      <c r="Q158" s="727"/>
      <c r="R158" s="725"/>
      <c r="S158" s="725"/>
      <c r="T158" s="739"/>
      <c r="U158" s="739"/>
      <c r="V158" s="3">
        <v>92557.02</v>
      </c>
      <c r="W158" s="600"/>
      <c r="X158" s="87"/>
      <c r="Y158" s="87"/>
      <c r="Z158" s="86">
        <f>C158</f>
        <v>92557.02</v>
      </c>
      <c r="AA158" s="87"/>
      <c r="AB158" s="86"/>
      <c r="AC158" s="18"/>
      <c r="AD158" s="18">
        <v>2023</v>
      </c>
      <c r="AE158" s="18">
        <v>2023</v>
      </c>
      <c r="AF158" s="25"/>
      <c r="AG158" s="91"/>
    </row>
    <row r="159" spans="1:33" s="26" customFormat="1" ht="24" customHeight="1">
      <c r="A159" s="18">
        <f t="shared" si="41"/>
        <v>139</v>
      </c>
      <c r="B159" s="77" t="s">
        <v>429</v>
      </c>
      <c r="C159" s="748">
        <f t="shared" ref="C159:C167" si="53">SUM(D159:X159)-(E159+J159+N159)</f>
        <v>3159313.72</v>
      </c>
      <c r="D159" s="600"/>
      <c r="E159" s="742"/>
      <c r="F159" s="600"/>
      <c r="G159" s="600"/>
      <c r="H159" s="600"/>
      <c r="I159" s="600"/>
      <c r="J159" s="724"/>
      <c r="K159" s="600"/>
      <c r="L159" s="600"/>
      <c r="M159" s="600"/>
      <c r="N159" s="878">
        <v>1</v>
      </c>
      <c r="O159" s="600">
        <f t="shared" ref="O159:O167" si="54">3037801.66*N159</f>
        <v>3037801.66</v>
      </c>
      <c r="P159" s="600"/>
      <c r="Q159" s="600"/>
      <c r="R159" s="600"/>
      <c r="S159" s="600"/>
      <c r="T159" s="741"/>
      <c r="U159" s="741"/>
      <c r="V159" s="600">
        <f>75945.04*N159</f>
        <v>75945.039999999994</v>
      </c>
      <c r="W159" s="600">
        <f>O159*1.5/100</f>
        <v>45567.02</v>
      </c>
      <c r="X159" s="600"/>
      <c r="Y159" s="743"/>
      <c r="Z159" s="600"/>
      <c r="AA159" s="743"/>
      <c r="AB159" s="724">
        <f>SUM(O159+V159+W159)</f>
        <v>3159313.72</v>
      </c>
      <c r="AC159" s="18"/>
      <c r="AD159" s="80">
        <v>2023</v>
      </c>
      <c r="AE159" s="80">
        <v>2024</v>
      </c>
      <c r="AF159" s="25"/>
      <c r="AG159" s="91"/>
    </row>
    <row r="160" spans="1:33" s="26" customFormat="1" ht="24" customHeight="1">
      <c r="A160" s="18">
        <f t="shared" si="41"/>
        <v>140</v>
      </c>
      <c r="B160" s="77" t="s">
        <v>430</v>
      </c>
      <c r="C160" s="748">
        <f t="shared" si="53"/>
        <v>6318627.4500000002</v>
      </c>
      <c r="D160" s="600"/>
      <c r="E160" s="742"/>
      <c r="F160" s="600"/>
      <c r="G160" s="600"/>
      <c r="H160" s="600"/>
      <c r="I160" s="600"/>
      <c r="J160" s="724"/>
      <c r="K160" s="600"/>
      <c r="L160" s="600"/>
      <c r="M160" s="600"/>
      <c r="N160" s="878">
        <v>2</v>
      </c>
      <c r="O160" s="600">
        <f t="shared" si="54"/>
        <v>6075603.3200000003</v>
      </c>
      <c r="P160" s="600"/>
      <c r="Q160" s="600"/>
      <c r="R160" s="600"/>
      <c r="S160" s="600"/>
      <c r="T160" s="741"/>
      <c r="U160" s="741"/>
      <c r="V160" s="600">
        <f t="shared" ref="V160:V166" si="55">75945.04*N160</f>
        <v>151890.07999999999</v>
      </c>
      <c r="W160" s="600">
        <f t="shared" ref="W160:W167" si="56">O160*1.5/100</f>
        <v>91134.05</v>
      </c>
      <c r="X160" s="600"/>
      <c r="Y160" s="743"/>
      <c r="Z160" s="600"/>
      <c r="AA160" s="743"/>
      <c r="AB160" s="724">
        <f t="shared" ref="AB160:AB167" si="57">SUM(O160+V160+W160)</f>
        <v>6318627.4500000002</v>
      </c>
      <c r="AC160" s="18"/>
      <c r="AD160" s="80">
        <v>2023</v>
      </c>
      <c r="AE160" s="80">
        <v>2024</v>
      </c>
      <c r="AF160" s="25"/>
      <c r="AG160" s="91"/>
    </row>
    <row r="161" spans="1:33" s="26" customFormat="1" ht="24" customHeight="1">
      <c r="A161" s="18">
        <f t="shared" si="41"/>
        <v>141</v>
      </c>
      <c r="B161" s="77" t="s">
        <v>431</v>
      </c>
      <c r="C161" s="748">
        <f t="shared" si="53"/>
        <v>6318627.4500000002</v>
      </c>
      <c r="D161" s="600"/>
      <c r="E161" s="742"/>
      <c r="F161" s="600"/>
      <c r="G161" s="600"/>
      <c r="H161" s="600"/>
      <c r="I161" s="600"/>
      <c r="J161" s="724"/>
      <c r="K161" s="600"/>
      <c r="L161" s="600"/>
      <c r="M161" s="600"/>
      <c r="N161" s="878">
        <v>2</v>
      </c>
      <c r="O161" s="600">
        <f t="shared" si="54"/>
        <v>6075603.3200000003</v>
      </c>
      <c r="P161" s="600"/>
      <c r="Q161" s="600"/>
      <c r="R161" s="600"/>
      <c r="S161" s="600"/>
      <c r="T161" s="741"/>
      <c r="U161" s="741"/>
      <c r="V161" s="600">
        <f t="shared" si="55"/>
        <v>151890.07999999999</v>
      </c>
      <c r="W161" s="600">
        <f t="shared" si="56"/>
        <v>91134.05</v>
      </c>
      <c r="X161" s="600"/>
      <c r="Y161" s="743"/>
      <c r="Z161" s="600"/>
      <c r="AA161" s="743"/>
      <c r="AB161" s="724">
        <f t="shared" si="57"/>
        <v>6318627.4500000002</v>
      </c>
      <c r="AC161" s="18"/>
      <c r="AD161" s="80">
        <v>2023</v>
      </c>
      <c r="AE161" s="80">
        <v>2024</v>
      </c>
      <c r="AF161" s="25"/>
      <c r="AG161" s="91"/>
    </row>
    <row r="162" spans="1:33" s="26" customFormat="1" ht="24" customHeight="1">
      <c r="A162" s="18">
        <f t="shared" si="41"/>
        <v>142</v>
      </c>
      <c r="B162" s="77" t="s">
        <v>432</v>
      </c>
      <c r="C162" s="748">
        <f t="shared" si="53"/>
        <v>6318627.4500000002</v>
      </c>
      <c r="D162" s="600"/>
      <c r="E162" s="742"/>
      <c r="F162" s="600"/>
      <c r="G162" s="600"/>
      <c r="H162" s="600"/>
      <c r="I162" s="600"/>
      <c r="J162" s="724"/>
      <c r="K162" s="600"/>
      <c r="L162" s="600"/>
      <c r="M162" s="600"/>
      <c r="N162" s="878">
        <v>2</v>
      </c>
      <c r="O162" s="600">
        <f t="shared" si="54"/>
        <v>6075603.3200000003</v>
      </c>
      <c r="P162" s="600"/>
      <c r="Q162" s="600"/>
      <c r="R162" s="600"/>
      <c r="S162" s="600"/>
      <c r="T162" s="741"/>
      <c r="U162" s="741"/>
      <c r="V162" s="600">
        <f t="shared" si="55"/>
        <v>151890.07999999999</v>
      </c>
      <c r="W162" s="600">
        <f t="shared" si="56"/>
        <v>91134.05</v>
      </c>
      <c r="X162" s="600"/>
      <c r="Y162" s="743"/>
      <c r="Z162" s="600"/>
      <c r="AA162" s="743"/>
      <c r="AB162" s="724">
        <f t="shared" si="57"/>
        <v>6318627.4500000002</v>
      </c>
      <c r="AC162" s="18"/>
      <c r="AD162" s="80">
        <v>2023</v>
      </c>
      <c r="AE162" s="80">
        <v>2024</v>
      </c>
      <c r="AF162" s="25"/>
      <c r="AG162" s="91"/>
    </row>
    <row r="163" spans="1:33" s="26" customFormat="1" ht="24" customHeight="1">
      <c r="A163" s="18">
        <f t="shared" si="41"/>
        <v>143</v>
      </c>
      <c r="B163" s="77" t="s">
        <v>1208</v>
      </c>
      <c r="C163" s="748">
        <f t="shared" si="53"/>
        <v>3159313.72</v>
      </c>
      <c r="D163" s="600"/>
      <c r="E163" s="742"/>
      <c r="F163" s="600"/>
      <c r="G163" s="600"/>
      <c r="H163" s="600"/>
      <c r="I163" s="600"/>
      <c r="J163" s="724"/>
      <c r="K163" s="600"/>
      <c r="L163" s="600"/>
      <c r="M163" s="600"/>
      <c r="N163" s="878">
        <v>1</v>
      </c>
      <c r="O163" s="600">
        <f t="shared" si="54"/>
        <v>3037801.66</v>
      </c>
      <c r="P163" s="600"/>
      <c r="Q163" s="600"/>
      <c r="R163" s="600"/>
      <c r="S163" s="600"/>
      <c r="T163" s="741"/>
      <c r="U163" s="741"/>
      <c r="V163" s="600">
        <f t="shared" si="55"/>
        <v>75945.039999999994</v>
      </c>
      <c r="W163" s="600">
        <f t="shared" si="56"/>
        <v>45567.02</v>
      </c>
      <c r="X163" s="600"/>
      <c r="Y163" s="743"/>
      <c r="Z163" s="600"/>
      <c r="AA163" s="743"/>
      <c r="AB163" s="724">
        <f t="shared" si="57"/>
        <v>3159313.72</v>
      </c>
      <c r="AC163" s="18"/>
      <c r="AD163" s="80">
        <v>2023</v>
      </c>
      <c r="AE163" s="80">
        <v>2024</v>
      </c>
      <c r="AF163" s="25"/>
      <c r="AG163" s="91"/>
    </row>
    <row r="164" spans="1:33" s="26" customFormat="1" ht="24" customHeight="1">
      <c r="A164" s="18">
        <f t="shared" si="41"/>
        <v>144</v>
      </c>
      <c r="B164" s="77" t="s">
        <v>1209</v>
      </c>
      <c r="C164" s="748">
        <f t="shared" si="53"/>
        <v>9477941.1699999999</v>
      </c>
      <c r="D164" s="600"/>
      <c r="E164" s="742"/>
      <c r="F164" s="600"/>
      <c r="G164" s="600"/>
      <c r="H164" s="600"/>
      <c r="I164" s="600"/>
      <c r="J164" s="724"/>
      <c r="K164" s="600"/>
      <c r="L164" s="600"/>
      <c r="M164" s="600"/>
      <c r="N164" s="878">
        <v>3</v>
      </c>
      <c r="O164" s="600">
        <f t="shared" si="54"/>
        <v>9113404.9800000004</v>
      </c>
      <c r="P164" s="600"/>
      <c r="Q164" s="600"/>
      <c r="R164" s="600"/>
      <c r="S164" s="600"/>
      <c r="T164" s="741"/>
      <c r="U164" s="741"/>
      <c r="V164" s="600">
        <f t="shared" si="55"/>
        <v>227835.12</v>
      </c>
      <c r="W164" s="600">
        <f t="shared" si="56"/>
        <v>136701.07</v>
      </c>
      <c r="X164" s="600"/>
      <c r="Y164" s="743"/>
      <c r="Z164" s="600"/>
      <c r="AA164" s="743"/>
      <c r="AB164" s="724">
        <f t="shared" si="57"/>
        <v>9477941.1699999999</v>
      </c>
      <c r="AC164" s="18"/>
      <c r="AD164" s="80">
        <v>2023</v>
      </c>
      <c r="AE164" s="80">
        <v>2024</v>
      </c>
      <c r="AF164" s="25"/>
      <c r="AG164" s="91"/>
    </row>
    <row r="165" spans="1:33" s="26" customFormat="1" ht="24" customHeight="1">
      <c r="A165" s="18">
        <f t="shared" si="41"/>
        <v>145</v>
      </c>
      <c r="B165" s="77" t="s">
        <v>1210</v>
      </c>
      <c r="C165" s="748">
        <f t="shared" si="53"/>
        <v>3159313.72</v>
      </c>
      <c r="D165" s="600"/>
      <c r="E165" s="742"/>
      <c r="F165" s="600"/>
      <c r="G165" s="600"/>
      <c r="H165" s="600"/>
      <c r="I165" s="600"/>
      <c r="J165" s="724"/>
      <c r="K165" s="600"/>
      <c r="L165" s="600"/>
      <c r="M165" s="600"/>
      <c r="N165" s="878">
        <v>1</v>
      </c>
      <c r="O165" s="600">
        <f t="shared" si="54"/>
        <v>3037801.66</v>
      </c>
      <c r="P165" s="600"/>
      <c r="Q165" s="600"/>
      <c r="R165" s="600"/>
      <c r="S165" s="600"/>
      <c r="T165" s="741"/>
      <c r="U165" s="741"/>
      <c r="V165" s="600">
        <f t="shared" si="55"/>
        <v>75945.039999999994</v>
      </c>
      <c r="W165" s="600">
        <f t="shared" si="56"/>
        <v>45567.02</v>
      </c>
      <c r="X165" s="600"/>
      <c r="Y165" s="743"/>
      <c r="Z165" s="600"/>
      <c r="AA165" s="743"/>
      <c r="AB165" s="724">
        <f t="shared" si="57"/>
        <v>3159313.72</v>
      </c>
      <c r="AC165" s="18"/>
      <c r="AD165" s="80">
        <v>2023</v>
      </c>
      <c r="AE165" s="80">
        <v>2024</v>
      </c>
      <c r="AF165" s="25"/>
      <c r="AG165" s="91"/>
    </row>
    <row r="166" spans="1:33" s="26" customFormat="1" ht="24" customHeight="1">
      <c r="A166" s="18">
        <f t="shared" si="41"/>
        <v>146</v>
      </c>
      <c r="B166" s="77" t="s">
        <v>1211</v>
      </c>
      <c r="C166" s="748">
        <f t="shared" si="53"/>
        <v>6318627.4500000002</v>
      </c>
      <c r="D166" s="600"/>
      <c r="E166" s="742"/>
      <c r="F166" s="600"/>
      <c r="G166" s="600"/>
      <c r="H166" s="600"/>
      <c r="I166" s="600"/>
      <c r="J166" s="724"/>
      <c r="K166" s="600"/>
      <c r="L166" s="600"/>
      <c r="M166" s="600"/>
      <c r="N166" s="878">
        <v>2</v>
      </c>
      <c r="O166" s="600">
        <f t="shared" si="54"/>
        <v>6075603.3200000003</v>
      </c>
      <c r="P166" s="600"/>
      <c r="Q166" s="600"/>
      <c r="R166" s="600"/>
      <c r="S166" s="600"/>
      <c r="T166" s="741"/>
      <c r="U166" s="741"/>
      <c r="V166" s="600">
        <f t="shared" si="55"/>
        <v>151890.07999999999</v>
      </c>
      <c r="W166" s="600">
        <f t="shared" si="56"/>
        <v>91134.05</v>
      </c>
      <c r="X166" s="600"/>
      <c r="Y166" s="743"/>
      <c r="Z166" s="600"/>
      <c r="AA166" s="743"/>
      <c r="AB166" s="724">
        <f t="shared" si="57"/>
        <v>6318627.4500000002</v>
      </c>
      <c r="AC166" s="18"/>
      <c r="AD166" s="80">
        <v>2023</v>
      </c>
      <c r="AE166" s="80">
        <v>2024</v>
      </c>
      <c r="AF166" s="25"/>
      <c r="AG166" s="91"/>
    </row>
    <row r="167" spans="1:33" s="26" customFormat="1" ht="24" customHeight="1">
      <c r="A167" s="18">
        <f t="shared" si="41"/>
        <v>147</v>
      </c>
      <c r="B167" s="77" t="s">
        <v>433</v>
      </c>
      <c r="C167" s="748">
        <f t="shared" si="53"/>
        <v>6318627.4500000002</v>
      </c>
      <c r="D167" s="600"/>
      <c r="E167" s="742"/>
      <c r="F167" s="600"/>
      <c r="G167" s="600"/>
      <c r="H167" s="600"/>
      <c r="I167" s="600"/>
      <c r="J167" s="724"/>
      <c r="K167" s="600"/>
      <c r="L167" s="600"/>
      <c r="M167" s="600"/>
      <c r="N167" s="878">
        <v>2</v>
      </c>
      <c r="O167" s="600">
        <f t="shared" si="54"/>
        <v>6075603.3200000003</v>
      </c>
      <c r="P167" s="600"/>
      <c r="Q167" s="600"/>
      <c r="R167" s="600"/>
      <c r="S167" s="600"/>
      <c r="T167" s="741"/>
      <c r="U167" s="741"/>
      <c r="V167" s="600">
        <f>75945.04*N167</f>
        <v>151890.07999999999</v>
      </c>
      <c r="W167" s="600">
        <f t="shared" si="56"/>
        <v>91134.05</v>
      </c>
      <c r="X167" s="600"/>
      <c r="Y167" s="743"/>
      <c r="Z167" s="600"/>
      <c r="AA167" s="743"/>
      <c r="AB167" s="724">
        <f t="shared" si="57"/>
        <v>6318627.4500000002</v>
      </c>
      <c r="AC167" s="18"/>
      <c r="AD167" s="80">
        <v>2023</v>
      </c>
      <c r="AE167" s="80">
        <v>2024</v>
      </c>
      <c r="AF167" s="25"/>
      <c r="AG167" s="91"/>
    </row>
    <row r="168" spans="1:33" s="26" customFormat="1" ht="24" customHeight="1">
      <c r="A168" s="18">
        <f t="shared" si="41"/>
        <v>148</v>
      </c>
      <c r="B168" s="77" t="s">
        <v>79</v>
      </c>
      <c r="C168" s="9">
        <f t="shared" si="23"/>
        <v>11428995.189999999</v>
      </c>
      <c r="D168" s="725">
        <f>ROUND(2733.9*589.88,2)</f>
        <v>1612672.93</v>
      </c>
      <c r="E168" s="87"/>
      <c r="F168" s="87"/>
      <c r="G168" s="727">
        <f>ROUND(2733.9*596.38,2)</f>
        <v>1630443.28</v>
      </c>
      <c r="H168" s="201">
        <f>ROUND(2733.9*1074.75,2)</f>
        <v>2938259.03</v>
      </c>
      <c r="I168" s="201">
        <f>ROUND(2733.9*871.5,2)</f>
        <v>2382593.85</v>
      </c>
      <c r="J168" s="87"/>
      <c r="K168" s="750"/>
      <c r="L168" s="727">
        <f>ROUND(2733.9*616.25,2)</f>
        <v>1684765.88</v>
      </c>
      <c r="M168" s="204"/>
      <c r="N168" s="204"/>
      <c r="O168" s="204"/>
      <c r="P168" s="204"/>
      <c r="Q168" s="727"/>
      <c r="R168" s="725"/>
      <c r="S168" s="725"/>
      <c r="T168" s="739"/>
      <c r="U168" s="739"/>
      <c r="V168" s="3">
        <v>1026529.2</v>
      </c>
      <c r="W168" s="600">
        <v>153731.01999999999</v>
      </c>
      <c r="X168" s="87"/>
      <c r="Y168" s="87"/>
      <c r="Z168" s="87"/>
      <c r="AA168" s="87"/>
      <c r="AB168" s="86">
        <f t="shared" si="28"/>
        <v>11428995.189999999</v>
      </c>
      <c r="AC168" s="18"/>
      <c r="AD168" s="18">
        <v>2023</v>
      </c>
      <c r="AE168" s="18">
        <v>2023</v>
      </c>
      <c r="AF168" s="25"/>
      <c r="AG168" s="91"/>
    </row>
    <row r="169" spans="1:33" s="26" customFormat="1" ht="24" customHeight="1">
      <c r="A169" s="18">
        <f t="shared" si="41"/>
        <v>149</v>
      </c>
      <c r="B169" s="77" t="s">
        <v>80</v>
      </c>
      <c r="C169" s="9">
        <f t="shared" si="23"/>
        <v>16963301.84</v>
      </c>
      <c r="D169" s="725"/>
      <c r="E169" s="87"/>
      <c r="F169" s="87"/>
      <c r="G169" s="727"/>
      <c r="H169" s="201"/>
      <c r="I169" s="201"/>
      <c r="J169" s="87"/>
      <c r="K169" s="750"/>
      <c r="L169" s="727"/>
      <c r="M169" s="204"/>
      <c r="N169" s="204"/>
      <c r="O169" s="204"/>
      <c r="P169" s="727">
        <f>ROUND(2608.3*5975.33,2)</f>
        <v>15585453.24</v>
      </c>
      <c r="Q169" s="727"/>
      <c r="R169" s="725"/>
      <c r="S169" s="725"/>
      <c r="T169" s="739"/>
      <c r="U169" s="739"/>
      <c r="V169" s="3">
        <v>1144066.8</v>
      </c>
      <c r="W169" s="600">
        <v>233781.8</v>
      </c>
      <c r="X169" s="87"/>
      <c r="Y169" s="87"/>
      <c r="Z169" s="87"/>
      <c r="AA169" s="87"/>
      <c r="AB169" s="86">
        <f t="shared" si="28"/>
        <v>16963301.84</v>
      </c>
      <c r="AC169" s="18"/>
      <c r="AD169" s="18">
        <v>2023</v>
      </c>
      <c r="AE169" s="18">
        <v>2023</v>
      </c>
      <c r="AF169" s="25"/>
      <c r="AG169" s="91"/>
    </row>
    <row r="170" spans="1:33" s="26" customFormat="1" ht="24" customHeight="1">
      <c r="A170" s="18">
        <f t="shared" si="41"/>
        <v>150</v>
      </c>
      <c r="B170" s="77" t="s">
        <v>1212</v>
      </c>
      <c r="C170" s="9">
        <f t="shared" si="23"/>
        <v>9269307.7200000007</v>
      </c>
      <c r="D170" s="725">
        <f>ROUND(1070*589.88,2)</f>
        <v>631171.6</v>
      </c>
      <c r="E170" s="87"/>
      <c r="F170" s="87"/>
      <c r="G170" s="727">
        <f>ROUND(1070*596.38,2)</f>
        <v>638126.6</v>
      </c>
      <c r="H170" s="201">
        <f>ROUND(1070*1074.75,2)</f>
        <v>1149982.5</v>
      </c>
      <c r="I170" s="201">
        <f>ROUND(1070*4857.9,2)</f>
        <v>5197953</v>
      </c>
      <c r="J170" s="87"/>
      <c r="K170" s="750"/>
      <c r="L170" s="727">
        <f>ROUND(1070*616.25,2)</f>
        <v>659387.5</v>
      </c>
      <c r="M170" s="204"/>
      <c r="N170" s="204"/>
      <c r="O170" s="204"/>
      <c r="P170" s="204"/>
      <c r="Q170" s="727"/>
      <c r="R170" s="725"/>
      <c r="S170" s="725"/>
      <c r="T170" s="739"/>
      <c r="U170" s="739"/>
      <c r="V170" s="3">
        <v>868537.2</v>
      </c>
      <c r="W170" s="600">
        <v>124149.32</v>
      </c>
      <c r="X170" s="87"/>
      <c r="Y170" s="87"/>
      <c r="Z170" s="87"/>
      <c r="AA170" s="87"/>
      <c r="AB170" s="86">
        <f t="shared" si="28"/>
        <v>9269307.7200000007</v>
      </c>
      <c r="AC170" s="18"/>
      <c r="AD170" s="18">
        <v>2023</v>
      </c>
      <c r="AE170" s="18">
        <v>2023</v>
      </c>
      <c r="AF170" s="25"/>
      <c r="AG170" s="91"/>
    </row>
    <row r="171" spans="1:33" s="26" customFormat="1" ht="24" customHeight="1">
      <c r="A171" s="18">
        <f t="shared" si="41"/>
        <v>151</v>
      </c>
      <c r="B171" s="77" t="s">
        <v>434</v>
      </c>
      <c r="C171" s="748">
        <f t="shared" ref="C171:C178" si="58">SUM(D171:X171)-(E171+J171+N171)</f>
        <v>6318627.4500000002</v>
      </c>
      <c r="D171" s="600"/>
      <c r="E171" s="742"/>
      <c r="F171" s="600"/>
      <c r="G171" s="600"/>
      <c r="H171" s="600"/>
      <c r="I171" s="600"/>
      <c r="J171" s="724"/>
      <c r="K171" s="600"/>
      <c r="L171" s="600"/>
      <c r="M171" s="600"/>
      <c r="N171" s="878">
        <v>2</v>
      </c>
      <c r="O171" s="600">
        <f t="shared" ref="O171:O178" si="59">3037801.66*N171</f>
        <v>6075603.3200000003</v>
      </c>
      <c r="P171" s="600"/>
      <c r="Q171" s="600"/>
      <c r="R171" s="600"/>
      <c r="S171" s="600"/>
      <c r="T171" s="741"/>
      <c r="U171" s="741"/>
      <c r="V171" s="600">
        <f>75945.04*N171</f>
        <v>151890.07999999999</v>
      </c>
      <c r="W171" s="600">
        <f>O171*1.5/100</f>
        <v>91134.05</v>
      </c>
      <c r="X171" s="600"/>
      <c r="Y171" s="743"/>
      <c r="Z171" s="743"/>
      <c r="AA171" s="743"/>
      <c r="AB171" s="724">
        <f>SUM(O171+V171+W171)</f>
        <v>6318627.4500000002</v>
      </c>
      <c r="AC171" s="18"/>
      <c r="AD171" s="80">
        <v>2023</v>
      </c>
      <c r="AE171" s="80">
        <v>2024</v>
      </c>
      <c r="AF171" s="25"/>
      <c r="AG171" s="91"/>
    </row>
    <row r="172" spans="1:33" s="26" customFormat="1" ht="24" customHeight="1">
      <c r="A172" s="18">
        <f t="shared" si="41"/>
        <v>152</v>
      </c>
      <c r="B172" s="77" t="s">
        <v>435</v>
      </c>
      <c r="C172" s="748">
        <f t="shared" si="58"/>
        <v>6318627.4500000002</v>
      </c>
      <c r="D172" s="600"/>
      <c r="E172" s="742"/>
      <c r="F172" s="600"/>
      <c r="G172" s="600"/>
      <c r="H172" s="600"/>
      <c r="I172" s="600"/>
      <c r="J172" s="724"/>
      <c r="K172" s="600"/>
      <c r="L172" s="600"/>
      <c r="M172" s="600"/>
      <c r="N172" s="878">
        <v>2</v>
      </c>
      <c r="O172" s="600">
        <f t="shared" si="59"/>
        <v>6075603.3200000003</v>
      </c>
      <c r="P172" s="600"/>
      <c r="Q172" s="600"/>
      <c r="R172" s="600"/>
      <c r="S172" s="600"/>
      <c r="T172" s="741"/>
      <c r="U172" s="741"/>
      <c r="V172" s="600">
        <f t="shared" ref="V172:V178" si="60">75945.04*N172</f>
        <v>151890.07999999999</v>
      </c>
      <c r="W172" s="600">
        <f t="shared" ref="W172:W178" si="61">O172*1.5/100</f>
        <v>91134.05</v>
      </c>
      <c r="X172" s="600"/>
      <c r="Y172" s="743"/>
      <c r="Z172" s="743"/>
      <c r="AA172" s="743"/>
      <c r="AB172" s="724">
        <f t="shared" ref="AB172:AB178" si="62">SUM(O172+V172+W172)</f>
        <v>6318627.4500000002</v>
      </c>
      <c r="AC172" s="18"/>
      <c r="AD172" s="80">
        <v>2023</v>
      </c>
      <c r="AE172" s="80">
        <v>2024</v>
      </c>
      <c r="AF172" s="25"/>
      <c r="AG172" s="91"/>
    </row>
    <row r="173" spans="1:33" s="26" customFormat="1" ht="24" customHeight="1">
      <c r="A173" s="18">
        <f t="shared" si="41"/>
        <v>153</v>
      </c>
      <c r="B173" s="77" t="s">
        <v>436</v>
      </c>
      <c r="C173" s="748">
        <f t="shared" si="58"/>
        <v>12637254.9</v>
      </c>
      <c r="D173" s="600"/>
      <c r="E173" s="742"/>
      <c r="F173" s="600"/>
      <c r="G173" s="600"/>
      <c r="H173" s="600"/>
      <c r="I173" s="600"/>
      <c r="J173" s="724"/>
      <c r="K173" s="600"/>
      <c r="L173" s="600"/>
      <c r="M173" s="600"/>
      <c r="N173" s="878">
        <v>4</v>
      </c>
      <c r="O173" s="600">
        <f t="shared" si="59"/>
        <v>12151206.640000001</v>
      </c>
      <c r="P173" s="600"/>
      <c r="Q173" s="600"/>
      <c r="R173" s="600"/>
      <c r="S173" s="600"/>
      <c r="T173" s="741"/>
      <c r="U173" s="741"/>
      <c r="V173" s="600">
        <f t="shared" si="60"/>
        <v>303780.15999999997</v>
      </c>
      <c r="W173" s="600">
        <f t="shared" si="61"/>
        <v>182268.1</v>
      </c>
      <c r="X173" s="600"/>
      <c r="Y173" s="743"/>
      <c r="Z173" s="743"/>
      <c r="AA173" s="743"/>
      <c r="AB173" s="724">
        <f t="shared" si="62"/>
        <v>12637254.9</v>
      </c>
      <c r="AC173" s="18"/>
      <c r="AD173" s="80">
        <v>2023</v>
      </c>
      <c r="AE173" s="80">
        <v>2024</v>
      </c>
      <c r="AF173" s="25"/>
      <c r="AG173" s="91"/>
    </row>
    <row r="174" spans="1:33" s="26" customFormat="1" ht="24" customHeight="1">
      <c r="A174" s="18">
        <f t="shared" si="41"/>
        <v>154</v>
      </c>
      <c r="B174" s="77" t="s">
        <v>437</v>
      </c>
      <c r="C174" s="748">
        <f t="shared" si="58"/>
        <v>3159313.72</v>
      </c>
      <c r="D174" s="600"/>
      <c r="E174" s="742"/>
      <c r="F174" s="600"/>
      <c r="G174" s="600"/>
      <c r="H174" s="600"/>
      <c r="I174" s="600"/>
      <c r="J174" s="724"/>
      <c r="K174" s="600"/>
      <c r="L174" s="600"/>
      <c r="M174" s="600"/>
      <c r="N174" s="878">
        <v>1</v>
      </c>
      <c r="O174" s="600">
        <f t="shared" si="59"/>
        <v>3037801.66</v>
      </c>
      <c r="P174" s="600"/>
      <c r="Q174" s="600"/>
      <c r="R174" s="600"/>
      <c r="S174" s="600"/>
      <c r="T174" s="741"/>
      <c r="U174" s="741"/>
      <c r="V174" s="600">
        <f t="shared" si="60"/>
        <v>75945.039999999994</v>
      </c>
      <c r="W174" s="600">
        <f t="shared" si="61"/>
        <v>45567.02</v>
      </c>
      <c r="X174" s="600"/>
      <c r="Y174" s="743"/>
      <c r="Z174" s="743"/>
      <c r="AA174" s="743"/>
      <c r="AB174" s="724">
        <f t="shared" si="62"/>
        <v>3159313.72</v>
      </c>
      <c r="AC174" s="18"/>
      <c r="AD174" s="80">
        <v>2023</v>
      </c>
      <c r="AE174" s="80">
        <v>2024</v>
      </c>
      <c r="AF174" s="25"/>
      <c r="AG174" s="91"/>
    </row>
    <row r="175" spans="1:33" s="26" customFormat="1" ht="24" customHeight="1">
      <c r="A175" s="18">
        <f t="shared" si="41"/>
        <v>155</v>
      </c>
      <c r="B175" s="77" t="s">
        <v>438</v>
      </c>
      <c r="C175" s="748">
        <f t="shared" si="58"/>
        <v>12637254.9</v>
      </c>
      <c r="D175" s="600"/>
      <c r="E175" s="742"/>
      <c r="F175" s="600"/>
      <c r="G175" s="600"/>
      <c r="H175" s="600"/>
      <c r="I175" s="600"/>
      <c r="J175" s="724"/>
      <c r="K175" s="600"/>
      <c r="L175" s="600"/>
      <c r="M175" s="600"/>
      <c r="N175" s="878">
        <v>4</v>
      </c>
      <c r="O175" s="600">
        <f t="shared" si="59"/>
        <v>12151206.640000001</v>
      </c>
      <c r="P175" s="600"/>
      <c r="Q175" s="600"/>
      <c r="R175" s="600"/>
      <c r="S175" s="600"/>
      <c r="T175" s="741"/>
      <c r="U175" s="741"/>
      <c r="V175" s="600">
        <f t="shared" si="60"/>
        <v>303780.15999999997</v>
      </c>
      <c r="W175" s="600">
        <f t="shared" si="61"/>
        <v>182268.1</v>
      </c>
      <c r="X175" s="600"/>
      <c r="Y175" s="743"/>
      <c r="Z175" s="743"/>
      <c r="AA175" s="743"/>
      <c r="AB175" s="724">
        <f t="shared" si="62"/>
        <v>12637254.9</v>
      </c>
      <c r="AC175" s="18"/>
      <c r="AD175" s="80">
        <v>2023</v>
      </c>
      <c r="AE175" s="80">
        <v>2024</v>
      </c>
      <c r="AF175" s="25"/>
      <c r="AG175" s="91"/>
    </row>
    <row r="176" spans="1:33" s="26" customFormat="1" ht="24" customHeight="1">
      <c r="A176" s="18">
        <f t="shared" si="41"/>
        <v>156</v>
      </c>
      <c r="B176" s="77" t="s">
        <v>439</v>
      </c>
      <c r="C176" s="748">
        <f t="shared" si="58"/>
        <v>3159313.72</v>
      </c>
      <c r="D176" s="600"/>
      <c r="E176" s="742"/>
      <c r="F176" s="600"/>
      <c r="G176" s="600"/>
      <c r="H176" s="600"/>
      <c r="I176" s="600"/>
      <c r="J176" s="724"/>
      <c r="K176" s="600"/>
      <c r="L176" s="600"/>
      <c r="M176" s="600"/>
      <c r="N176" s="878">
        <v>1</v>
      </c>
      <c r="O176" s="600">
        <f t="shared" si="59"/>
        <v>3037801.66</v>
      </c>
      <c r="P176" s="600"/>
      <c r="Q176" s="600"/>
      <c r="R176" s="600"/>
      <c r="S176" s="600"/>
      <c r="T176" s="741"/>
      <c r="U176" s="741"/>
      <c r="V176" s="600">
        <f t="shared" si="60"/>
        <v>75945.039999999994</v>
      </c>
      <c r="W176" s="600">
        <f t="shared" si="61"/>
        <v>45567.02</v>
      </c>
      <c r="X176" s="600"/>
      <c r="Y176" s="743"/>
      <c r="Z176" s="743"/>
      <c r="AA176" s="743"/>
      <c r="AB176" s="724">
        <f t="shared" si="62"/>
        <v>3159313.72</v>
      </c>
      <c r="AC176" s="18"/>
      <c r="AD176" s="80">
        <v>2023</v>
      </c>
      <c r="AE176" s="80">
        <v>2024</v>
      </c>
      <c r="AF176" s="25"/>
      <c r="AG176" s="91"/>
    </row>
    <row r="177" spans="1:33" s="26" customFormat="1" ht="24" customHeight="1">
      <c r="A177" s="18">
        <f t="shared" si="41"/>
        <v>157</v>
      </c>
      <c r="B177" s="77" t="s">
        <v>440</v>
      </c>
      <c r="C177" s="748">
        <f t="shared" si="58"/>
        <v>6318627.4500000002</v>
      </c>
      <c r="D177" s="600"/>
      <c r="E177" s="742"/>
      <c r="F177" s="600"/>
      <c r="G177" s="600"/>
      <c r="H177" s="600"/>
      <c r="I177" s="600"/>
      <c r="J177" s="724"/>
      <c r="K177" s="600"/>
      <c r="L177" s="600"/>
      <c r="M177" s="600"/>
      <c r="N177" s="878">
        <v>2</v>
      </c>
      <c r="O177" s="600">
        <f t="shared" si="59"/>
        <v>6075603.3200000003</v>
      </c>
      <c r="P177" s="600"/>
      <c r="Q177" s="600"/>
      <c r="R177" s="600"/>
      <c r="S177" s="600"/>
      <c r="T177" s="741"/>
      <c r="U177" s="741"/>
      <c r="V177" s="600">
        <f t="shared" si="60"/>
        <v>151890.07999999999</v>
      </c>
      <c r="W177" s="600">
        <f t="shared" si="61"/>
        <v>91134.05</v>
      </c>
      <c r="X177" s="600"/>
      <c r="Y177" s="743"/>
      <c r="Z177" s="743"/>
      <c r="AA177" s="743"/>
      <c r="AB177" s="724">
        <f t="shared" si="62"/>
        <v>6318627.4500000002</v>
      </c>
      <c r="AC177" s="18"/>
      <c r="AD177" s="80">
        <v>2023</v>
      </c>
      <c r="AE177" s="80">
        <v>2024</v>
      </c>
      <c r="AF177" s="25"/>
      <c r="AG177" s="91"/>
    </row>
    <row r="178" spans="1:33" s="26" customFormat="1" ht="24" customHeight="1">
      <c r="A178" s="18">
        <f t="shared" si="41"/>
        <v>158</v>
      </c>
      <c r="B178" s="77" t="s">
        <v>441</v>
      </c>
      <c r="C178" s="748">
        <f t="shared" si="58"/>
        <v>12637254.9</v>
      </c>
      <c r="D178" s="600"/>
      <c r="E178" s="742"/>
      <c r="F178" s="600"/>
      <c r="G178" s="600"/>
      <c r="H178" s="600"/>
      <c r="I178" s="600"/>
      <c r="J178" s="724"/>
      <c r="K178" s="600"/>
      <c r="L178" s="600"/>
      <c r="M178" s="600"/>
      <c r="N178" s="878">
        <v>4</v>
      </c>
      <c r="O178" s="600">
        <f t="shared" si="59"/>
        <v>12151206.640000001</v>
      </c>
      <c r="P178" s="600"/>
      <c r="Q178" s="600"/>
      <c r="R178" s="600"/>
      <c r="S178" s="600"/>
      <c r="T178" s="741"/>
      <c r="U178" s="741"/>
      <c r="V178" s="600">
        <f t="shared" si="60"/>
        <v>303780.15999999997</v>
      </c>
      <c r="W178" s="600">
        <f t="shared" si="61"/>
        <v>182268.1</v>
      </c>
      <c r="X178" s="600"/>
      <c r="Y178" s="743"/>
      <c r="Z178" s="743"/>
      <c r="AA178" s="743"/>
      <c r="AB178" s="724">
        <f t="shared" si="62"/>
        <v>12637254.9</v>
      </c>
      <c r="AC178" s="18"/>
      <c r="AD178" s="80">
        <v>2023</v>
      </c>
      <c r="AE178" s="80">
        <v>2024</v>
      </c>
      <c r="AF178" s="25"/>
      <c r="AG178" s="91"/>
    </row>
    <row r="179" spans="1:33" s="26" customFormat="1" ht="24" customHeight="1">
      <c r="A179" s="18">
        <f t="shared" si="41"/>
        <v>159</v>
      </c>
      <c r="B179" s="20" t="s">
        <v>378</v>
      </c>
      <c r="C179" s="725">
        <f t="shared" si="23"/>
        <v>1851696.13</v>
      </c>
      <c r="D179" s="725"/>
      <c r="E179" s="87">
        <v>1</v>
      </c>
      <c r="F179" s="725">
        <v>1604744.95</v>
      </c>
      <c r="G179" s="727"/>
      <c r="H179" s="201"/>
      <c r="I179" s="201"/>
      <c r="J179" s="87"/>
      <c r="K179" s="3"/>
      <c r="L179" s="727"/>
      <c r="M179" s="204"/>
      <c r="N179" s="204"/>
      <c r="O179" s="204"/>
      <c r="P179" s="204"/>
      <c r="Q179" s="727"/>
      <c r="R179" s="725"/>
      <c r="S179" s="725"/>
      <c r="T179" s="739"/>
      <c r="U179" s="739"/>
      <c r="V179" s="3">
        <v>222880</v>
      </c>
      <c r="W179" s="600">
        <v>24071.18</v>
      </c>
      <c r="X179" s="87"/>
      <c r="Y179" s="87"/>
      <c r="Z179" s="725">
        <f>C179</f>
        <v>1851696.13</v>
      </c>
      <c r="AA179" s="87"/>
      <c r="AB179" s="86">
        <f>C179-Z179</f>
        <v>0</v>
      </c>
      <c r="AC179" s="18"/>
      <c r="AD179" s="18">
        <v>2023</v>
      </c>
      <c r="AE179" s="18">
        <v>2023</v>
      </c>
      <c r="AF179" s="25"/>
      <c r="AG179" s="91"/>
    </row>
    <row r="180" spans="1:33" s="26" customFormat="1" ht="24" customHeight="1">
      <c r="A180" s="18">
        <f t="shared" si="41"/>
        <v>160</v>
      </c>
      <c r="B180" s="435" t="s">
        <v>81</v>
      </c>
      <c r="C180" s="563">
        <f t="shared" si="23"/>
        <v>86880994.25</v>
      </c>
      <c r="D180" s="563"/>
      <c r="E180" s="734"/>
      <c r="F180" s="734"/>
      <c r="G180" s="736"/>
      <c r="H180" s="747"/>
      <c r="I180" s="747"/>
      <c r="J180" s="734"/>
      <c r="K180" s="494"/>
      <c r="L180" s="736"/>
      <c r="M180" s="737"/>
      <c r="N180" s="422"/>
      <c r="O180" s="737"/>
      <c r="P180" s="736">
        <v>35059859.670000002</v>
      </c>
      <c r="Q180" s="736"/>
      <c r="R180" s="563">
        <v>48777181.619999997</v>
      </c>
      <c r="S180" s="563"/>
      <c r="T180" s="563"/>
      <c r="U180" s="563"/>
      <c r="V180" s="417">
        <v>2485036.2000000002</v>
      </c>
      <c r="W180" s="446">
        <v>558916.76</v>
      </c>
      <c r="X180" s="734"/>
      <c r="Y180" s="734"/>
      <c r="Z180" s="735">
        <f t="shared" ref="Z180:Z181" si="63">C180</f>
        <v>86880994.25</v>
      </c>
      <c r="AA180" s="734"/>
      <c r="AB180" s="735">
        <f t="shared" ref="AB180:AB181" si="64">C180-Z180</f>
        <v>0</v>
      </c>
      <c r="AC180" s="426"/>
      <c r="AD180" s="426">
        <v>2022</v>
      </c>
      <c r="AE180" s="426">
        <v>2023</v>
      </c>
      <c r="AF180" s="25"/>
      <c r="AG180" s="91"/>
    </row>
    <row r="181" spans="1:33" s="26" customFormat="1" ht="24" customHeight="1">
      <c r="A181" s="648">
        <f t="shared" si="41"/>
        <v>161</v>
      </c>
      <c r="B181" s="665" t="s">
        <v>84</v>
      </c>
      <c r="C181" s="658">
        <f t="shared" si="23"/>
        <v>9316638.3499999996</v>
      </c>
      <c r="D181" s="658"/>
      <c r="E181" s="753"/>
      <c r="F181" s="753"/>
      <c r="G181" s="754"/>
      <c r="H181" s="755"/>
      <c r="I181" s="755"/>
      <c r="J181" s="753"/>
      <c r="K181" s="756"/>
      <c r="L181" s="754"/>
      <c r="M181" s="757"/>
      <c r="N181" s="663"/>
      <c r="O181" s="757"/>
      <c r="P181" s="754">
        <v>8438752.5600000005</v>
      </c>
      <c r="Q181" s="754"/>
      <c r="R181" s="658"/>
      <c r="S181" s="658"/>
      <c r="T181" s="658"/>
      <c r="U181" s="658"/>
      <c r="V181" s="664">
        <v>766234.49</v>
      </c>
      <c r="W181" s="673">
        <v>111651.3</v>
      </c>
      <c r="X181" s="753"/>
      <c r="Y181" s="753"/>
      <c r="Z181" s="761">
        <f t="shared" si="63"/>
        <v>9316638.3499999996</v>
      </c>
      <c r="AA181" s="753"/>
      <c r="AB181" s="761">
        <f t="shared" si="64"/>
        <v>0</v>
      </c>
      <c r="AC181" s="648"/>
      <c r="AD181" s="648">
        <v>2022</v>
      </c>
      <c r="AE181" s="648">
        <v>2023</v>
      </c>
      <c r="AF181" s="91"/>
      <c r="AG181" s="91"/>
    </row>
    <row r="182" spans="1:33" s="26" customFormat="1" ht="24" customHeight="1">
      <c r="A182" s="18">
        <f t="shared" si="41"/>
        <v>162</v>
      </c>
      <c r="B182" s="435" t="s">
        <v>85</v>
      </c>
      <c r="C182" s="563">
        <f t="shared" si="23"/>
        <v>28926942.68</v>
      </c>
      <c r="D182" s="563"/>
      <c r="E182" s="426"/>
      <c r="F182" s="734"/>
      <c r="G182" s="736"/>
      <c r="H182" s="747"/>
      <c r="I182" s="747"/>
      <c r="J182" s="734"/>
      <c r="K182" s="494"/>
      <c r="L182" s="736"/>
      <c r="M182" s="737"/>
      <c r="N182" s="422"/>
      <c r="O182" s="737"/>
      <c r="P182" s="736">
        <v>26626939.579999998</v>
      </c>
      <c r="Q182" s="736"/>
      <c r="R182" s="563"/>
      <c r="S182" s="563"/>
      <c r="T182" s="563"/>
      <c r="U182" s="563"/>
      <c r="V182" s="417">
        <v>1962787.7</v>
      </c>
      <c r="W182" s="446">
        <v>281246.03999999998</v>
      </c>
      <c r="X182" s="563">
        <v>55969.36</v>
      </c>
      <c r="Y182" s="734"/>
      <c r="Z182" s="735">
        <f t="shared" ref="Z182:Z186" si="65">C182</f>
        <v>28926942.68</v>
      </c>
      <c r="AA182" s="734"/>
      <c r="AB182" s="735">
        <f t="shared" ref="AB182:AB190" si="66">C182-Z182</f>
        <v>0</v>
      </c>
      <c r="AC182" s="426"/>
      <c r="AD182" s="426">
        <v>2022</v>
      </c>
      <c r="AE182" s="426">
        <v>2023</v>
      </c>
      <c r="AF182" s="25"/>
      <c r="AG182" s="91"/>
    </row>
    <row r="183" spans="1:33" s="26" customFormat="1" ht="24" customHeight="1">
      <c r="A183" s="18">
        <f t="shared" si="41"/>
        <v>163</v>
      </c>
      <c r="B183" s="435" t="s">
        <v>86</v>
      </c>
      <c r="C183" s="563">
        <f t="shared" si="23"/>
        <v>57844836.890000001</v>
      </c>
      <c r="D183" s="563"/>
      <c r="E183" s="426"/>
      <c r="F183" s="734"/>
      <c r="G183" s="736"/>
      <c r="H183" s="747"/>
      <c r="I183" s="747"/>
      <c r="J183" s="734"/>
      <c r="K183" s="494"/>
      <c r="L183" s="736"/>
      <c r="M183" s="737"/>
      <c r="N183" s="422"/>
      <c r="O183" s="737"/>
      <c r="P183" s="736">
        <v>20151056.100000001</v>
      </c>
      <c r="Q183" s="736"/>
      <c r="R183" s="563">
        <v>34344503.640000001</v>
      </c>
      <c r="S183" s="563"/>
      <c r="T183" s="563"/>
      <c r="U183" s="563"/>
      <c r="V183" s="417">
        <f>1524029.25+1404757.78</f>
        <v>2928787.03</v>
      </c>
      <c r="W183" s="446">
        <v>420490.12</v>
      </c>
      <c r="X183" s="734"/>
      <c r="Y183" s="734"/>
      <c r="Z183" s="735">
        <f t="shared" si="65"/>
        <v>57844836.890000001</v>
      </c>
      <c r="AA183" s="734"/>
      <c r="AB183" s="735">
        <f t="shared" si="66"/>
        <v>0</v>
      </c>
      <c r="AC183" s="426"/>
      <c r="AD183" s="426">
        <v>2022</v>
      </c>
      <c r="AE183" s="426">
        <v>2023</v>
      </c>
      <c r="AF183" s="25"/>
      <c r="AG183" s="91"/>
    </row>
    <row r="184" spans="1:33" s="26" customFormat="1" ht="24" customHeight="1">
      <c r="A184" s="18">
        <f t="shared" si="41"/>
        <v>164</v>
      </c>
      <c r="B184" s="435" t="s">
        <v>87</v>
      </c>
      <c r="C184" s="563">
        <f t="shared" si="23"/>
        <v>84023892.650000006</v>
      </c>
      <c r="D184" s="563"/>
      <c r="E184" s="426"/>
      <c r="F184" s="734"/>
      <c r="G184" s="736"/>
      <c r="H184" s="747"/>
      <c r="I184" s="747"/>
      <c r="J184" s="734"/>
      <c r="K184" s="494"/>
      <c r="L184" s="736"/>
      <c r="M184" s="737"/>
      <c r="N184" s="422"/>
      <c r="O184" s="737"/>
      <c r="P184" s="736">
        <v>29890564.079999998</v>
      </c>
      <c r="Q184" s="736"/>
      <c r="R184" s="563">
        <v>53274245.310000002</v>
      </c>
      <c r="S184" s="563"/>
      <c r="T184" s="563"/>
      <c r="U184" s="563"/>
      <c r="V184" s="417"/>
      <c r="W184" s="446">
        <v>692674.88</v>
      </c>
      <c r="X184" s="563">
        <f>59859.89+106548.49</f>
        <v>166408.38</v>
      </c>
      <c r="Y184" s="734"/>
      <c r="Z184" s="735">
        <f t="shared" si="65"/>
        <v>84023892.650000006</v>
      </c>
      <c r="AA184" s="734"/>
      <c r="AB184" s="735">
        <f t="shared" si="66"/>
        <v>0</v>
      </c>
      <c r="AC184" s="426"/>
      <c r="AD184" s="426">
        <v>2022</v>
      </c>
      <c r="AE184" s="426">
        <v>2023</v>
      </c>
      <c r="AF184" s="25"/>
      <c r="AG184" s="91"/>
    </row>
    <row r="185" spans="1:33" s="26" customFormat="1" ht="24" customHeight="1">
      <c r="A185" s="18">
        <f t="shared" si="41"/>
        <v>165</v>
      </c>
      <c r="B185" s="20" t="s">
        <v>88</v>
      </c>
      <c r="C185" s="725">
        <f t="shared" si="23"/>
        <v>43517793.729999997</v>
      </c>
      <c r="D185" s="725"/>
      <c r="E185" s="18"/>
      <c r="F185" s="87"/>
      <c r="G185" s="727"/>
      <c r="H185" s="201"/>
      <c r="I185" s="201"/>
      <c r="J185" s="87"/>
      <c r="K185" s="750"/>
      <c r="L185" s="727"/>
      <c r="M185" s="204"/>
      <c r="N185" s="22"/>
      <c r="O185" s="204"/>
      <c r="P185" s="727">
        <v>40243467.350000001</v>
      </c>
      <c r="Q185" s="727"/>
      <c r="R185" s="725"/>
      <c r="S185" s="725"/>
      <c r="T185" s="739"/>
      <c r="U185" s="739"/>
      <c r="V185" s="3">
        <v>2822593.54</v>
      </c>
      <c r="W185" s="600">
        <v>371245.91</v>
      </c>
      <c r="X185" s="725">
        <v>80486.929999999993</v>
      </c>
      <c r="Y185" s="87"/>
      <c r="Z185" s="86">
        <f t="shared" si="65"/>
        <v>43517793.729999997</v>
      </c>
      <c r="AA185" s="87"/>
      <c r="AB185" s="86">
        <f t="shared" si="66"/>
        <v>0</v>
      </c>
      <c r="AC185" s="18"/>
      <c r="AD185" s="18">
        <v>2022</v>
      </c>
      <c r="AE185" s="18">
        <v>2023</v>
      </c>
      <c r="AF185" s="25"/>
      <c r="AG185" s="91"/>
    </row>
    <row r="186" spans="1:33" s="26" customFormat="1" ht="24" customHeight="1">
      <c r="A186" s="18">
        <f t="shared" si="41"/>
        <v>166</v>
      </c>
      <c r="B186" s="20" t="s">
        <v>89</v>
      </c>
      <c r="C186" s="725">
        <f t="shared" si="23"/>
        <v>54277730.659999996</v>
      </c>
      <c r="D186" s="725"/>
      <c r="E186" s="18"/>
      <c r="F186" s="87"/>
      <c r="G186" s="727"/>
      <c r="H186" s="201"/>
      <c r="I186" s="201"/>
      <c r="J186" s="87"/>
      <c r="K186" s="750"/>
      <c r="L186" s="727"/>
      <c r="M186" s="727"/>
      <c r="N186" s="22"/>
      <c r="O186" s="204"/>
      <c r="P186" s="727"/>
      <c r="Q186" s="727"/>
      <c r="R186" s="725">
        <v>53675226.340000004</v>
      </c>
      <c r="S186" s="725"/>
      <c r="T186" s="739"/>
      <c r="U186" s="739"/>
      <c r="V186" s="3"/>
      <c r="W186" s="600">
        <v>495153.87</v>
      </c>
      <c r="X186" s="725">
        <v>107350.45</v>
      </c>
      <c r="Y186" s="87"/>
      <c r="Z186" s="86">
        <f t="shared" si="65"/>
        <v>54277730.659999996</v>
      </c>
      <c r="AA186" s="87"/>
      <c r="AB186" s="86">
        <f t="shared" si="66"/>
        <v>0</v>
      </c>
      <c r="AC186" s="18"/>
      <c r="AD186" s="18" t="s">
        <v>339</v>
      </c>
      <c r="AE186" s="18">
        <v>2023</v>
      </c>
      <c r="AF186" s="25"/>
      <c r="AG186" s="91"/>
    </row>
    <row r="187" spans="1:33" s="26" customFormat="1" ht="24" customHeight="1">
      <c r="A187" s="18">
        <f t="shared" si="41"/>
        <v>167</v>
      </c>
      <c r="B187" s="435" t="s">
        <v>337</v>
      </c>
      <c r="C187" s="563">
        <f>D187+F187+G187+H187+I187+K187+L187+M187+O187+P187+Q187+R187+S187+W187+V187+X187</f>
        <v>46544739.289999999</v>
      </c>
      <c r="D187" s="563"/>
      <c r="E187" s="426"/>
      <c r="F187" s="734"/>
      <c r="G187" s="736"/>
      <c r="H187" s="747"/>
      <c r="I187" s="747"/>
      <c r="J187" s="734"/>
      <c r="K187" s="494"/>
      <c r="L187" s="736"/>
      <c r="M187" s="736"/>
      <c r="N187" s="422"/>
      <c r="O187" s="737"/>
      <c r="P187" s="736">
        <v>43106233.229999997</v>
      </c>
      <c r="Q187" s="736"/>
      <c r="R187" s="563"/>
      <c r="S187" s="563"/>
      <c r="T187" s="563"/>
      <c r="U187" s="563"/>
      <c r="V187" s="417">
        <v>3281389.86</v>
      </c>
      <c r="W187" s="446">
        <v>82148.84</v>
      </c>
      <c r="X187" s="762">
        <v>74967.360000000001</v>
      </c>
      <c r="Y187" s="734"/>
      <c r="Z187" s="563">
        <f>P187+W187</f>
        <v>43188382.07</v>
      </c>
      <c r="AA187" s="734"/>
      <c r="AB187" s="735">
        <f t="shared" si="66"/>
        <v>3356357.22</v>
      </c>
      <c r="AC187" s="426"/>
      <c r="AD187" s="426">
        <v>2022</v>
      </c>
      <c r="AE187" s="426">
        <v>2023</v>
      </c>
      <c r="AF187" s="25"/>
      <c r="AG187" s="91"/>
    </row>
    <row r="188" spans="1:33" s="26" customFormat="1" ht="24" customHeight="1">
      <c r="A188" s="18">
        <f t="shared" si="41"/>
        <v>168</v>
      </c>
      <c r="B188" s="435" t="s">
        <v>90</v>
      </c>
      <c r="C188" s="563">
        <f t="shared" ref="C188" si="67">D188+F188+G188+H188+I188+K188+L188+M188+O188+P188+Q188+R188+S188+W188+V188+X188</f>
        <v>35215055.420000002</v>
      </c>
      <c r="D188" s="563"/>
      <c r="E188" s="426"/>
      <c r="F188" s="734"/>
      <c r="G188" s="736"/>
      <c r="H188" s="747"/>
      <c r="I188" s="747"/>
      <c r="J188" s="734"/>
      <c r="K188" s="494"/>
      <c r="L188" s="736"/>
      <c r="M188" s="737"/>
      <c r="N188" s="422"/>
      <c r="O188" s="737"/>
      <c r="P188" s="736">
        <v>16173420.66</v>
      </c>
      <c r="Q188" s="736"/>
      <c r="R188" s="563">
        <v>18477085.699999999</v>
      </c>
      <c r="S188" s="563"/>
      <c r="T188" s="563"/>
      <c r="U188" s="563"/>
      <c r="V188" s="417"/>
      <c r="W188" s="446">
        <v>492857.2</v>
      </c>
      <c r="X188" s="563">
        <f>34737.69+36954.17</f>
        <v>71691.86</v>
      </c>
      <c r="Y188" s="734"/>
      <c r="Z188" s="735">
        <f>C188</f>
        <v>35215055.420000002</v>
      </c>
      <c r="AA188" s="734"/>
      <c r="AB188" s="735">
        <f t="shared" si="66"/>
        <v>0</v>
      </c>
      <c r="AC188" s="426"/>
      <c r="AD188" s="426">
        <v>2022</v>
      </c>
      <c r="AE188" s="426">
        <v>2023</v>
      </c>
      <c r="AF188" s="25"/>
      <c r="AG188" s="91"/>
    </row>
    <row r="189" spans="1:33" s="26" customFormat="1" ht="24" customHeight="1">
      <c r="A189" s="18">
        <f t="shared" ref="A189:A248" si="68">A188+1</f>
        <v>169</v>
      </c>
      <c r="B189" s="20" t="s">
        <v>91</v>
      </c>
      <c r="C189" s="725">
        <f t="shared" si="23"/>
        <v>21968599.640000001</v>
      </c>
      <c r="D189" s="725"/>
      <c r="E189" s="18"/>
      <c r="F189" s="87"/>
      <c r="G189" s="727"/>
      <c r="H189" s="201"/>
      <c r="I189" s="201"/>
      <c r="J189" s="87"/>
      <c r="K189" s="750"/>
      <c r="L189" s="727"/>
      <c r="M189" s="204"/>
      <c r="N189" s="22"/>
      <c r="O189" s="204"/>
      <c r="P189" s="204"/>
      <c r="Q189" s="727"/>
      <c r="R189" s="725">
        <v>21563575.969999999</v>
      </c>
      <c r="S189" s="725"/>
      <c r="T189" s="739"/>
      <c r="U189" s="739"/>
      <c r="V189" s="3"/>
      <c r="W189" s="600">
        <v>361896.52</v>
      </c>
      <c r="X189" s="725">
        <v>43127.15</v>
      </c>
      <c r="Y189" s="87"/>
      <c r="Z189" s="86">
        <f>C189</f>
        <v>21968599.640000001</v>
      </c>
      <c r="AA189" s="87"/>
      <c r="AB189" s="86">
        <f t="shared" si="66"/>
        <v>0</v>
      </c>
      <c r="AC189" s="18"/>
      <c r="AD189" s="18">
        <v>2022</v>
      </c>
      <c r="AE189" s="18">
        <v>2023</v>
      </c>
      <c r="AF189" s="25"/>
      <c r="AG189" s="91"/>
    </row>
    <row r="190" spans="1:33" s="26" customFormat="1" ht="24" customHeight="1">
      <c r="A190" s="18">
        <f t="shared" si="68"/>
        <v>170</v>
      </c>
      <c r="B190" s="435" t="s">
        <v>92</v>
      </c>
      <c r="C190" s="563">
        <f t="shared" si="23"/>
        <v>28536278.510000002</v>
      </c>
      <c r="D190" s="563"/>
      <c r="E190" s="426"/>
      <c r="F190" s="734"/>
      <c r="G190" s="736"/>
      <c r="H190" s="747"/>
      <c r="I190" s="747"/>
      <c r="J190" s="734"/>
      <c r="K190" s="494"/>
      <c r="L190" s="736"/>
      <c r="M190" s="737"/>
      <c r="N190" s="422"/>
      <c r="O190" s="737"/>
      <c r="P190" s="737"/>
      <c r="Q190" s="736"/>
      <c r="R190" s="563">
        <v>26365340.079999998</v>
      </c>
      <c r="S190" s="563"/>
      <c r="T190" s="563"/>
      <c r="U190" s="563"/>
      <c r="V190" s="417">
        <v>1871431.28</v>
      </c>
      <c r="W190" s="446">
        <v>246142.84</v>
      </c>
      <c r="X190" s="735">
        <v>53364.31</v>
      </c>
      <c r="Y190" s="734"/>
      <c r="Z190" s="735">
        <f>C190</f>
        <v>28536278.510000002</v>
      </c>
      <c r="AA190" s="734"/>
      <c r="AB190" s="735">
        <f t="shared" si="66"/>
        <v>0</v>
      </c>
      <c r="AC190" s="426"/>
      <c r="AD190" s="18">
        <v>2022</v>
      </c>
      <c r="AE190" s="18">
        <v>2023</v>
      </c>
      <c r="AF190" s="25"/>
      <c r="AG190" s="91"/>
    </row>
    <row r="191" spans="1:33" s="26" customFormat="1" ht="24" customHeight="1">
      <c r="A191" s="18">
        <f t="shared" si="68"/>
        <v>171</v>
      </c>
      <c r="B191" s="435" t="s">
        <v>94</v>
      </c>
      <c r="C191" s="563">
        <f t="shared" si="23"/>
        <v>124952663.51000001</v>
      </c>
      <c r="D191" s="563"/>
      <c r="E191" s="426"/>
      <c r="F191" s="734"/>
      <c r="G191" s="736"/>
      <c r="H191" s="758"/>
      <c r="I191" s="747">
        <f>ROUND(9391.4*3201.73,2)</f>
        <v>30068727.120000001</v>
      </c>
      <c r="J191" s="734"/>
      <c r="K191" s="494"/>
      <c r="L191" s="736">
        <f>ROUND(9391.4*616.25,2)</f>
        <v>5787450.25</v>
      </c>
      <c r="M191" s="737"/>
      <c r="N191" s="422"/>
      <c r="O191" s="759"/>
      <c r="P191" s="736">
        <v>32556944.059999999</v>
      </c>
      <c r="Q191" s="760"/>
      <c r="R191" s="563">
        <v>53169917.630000003</v>
      </c>
      <c r="S191" s="563"/>
      <c r="T191" s="563"/>
      <c r="U191" s="563"/>
      <c r="V191" s="417">
        <v>1826285.33</v>
      </c>
      <c r="W191" s="446">
        <v>1378548.37</v>
      </c>
      <c r="X191" s="563">
        <f>58450.91+106339.84</f>
        <v>164790.75</v>
      </c>
      <c r="Y191" s="734"/>
      <c r="Z191" s="563">
        <v>86732358.150000006</v>
      </c>
      <c r="AA191" s="734"/>
      <c r="AB191" s="735">
        <f>C191-Z191</f>
        <v>38220305.359999999</v>
      </c>
      <c r="AC191" s="426"/>
      <c r="AD191" s="18" t="s">
        <v>338</v>
      </c>
      <c r="AE191" s="18">
        <v>2023</v>
      </c>
      <c r="AF191" s="25"/>
      <c r="AG191" s="91"/>
    </row>
    <row r="192" spans="1:33" s="26" customFormat="1" ht="24" customHeight="1">
      <c r="A192" s="18">
        <f t="shared" si="68"/>
        <v>172</v>
      </c>
      <c r="B192" s="77" t="s">
        <v>973</v>
      </c>
      <c r="C192" s="724">
        <f t="shared" ref="C192" si="69">SUM(D192:X192)-(E192+J192+N192)</f>
        <v>6318627.4500000002</v>
      </c>
      <c r="D192" s="600"/>
      <c r="E192" s="80"/>
      <c r="F192" s="600"/>
      <c r="G192" s="600"/>
      <c r="H192" s="600"/>
      <c r="I192" s="600"/>
      <c r="J192" s="724"/>
      <c r="K192" s="600"/>
      <c r="L192" s="600"/>
      <c r="M192" s="600"/>
      <c r="N192" s="878">
        <v>2</v>
      </c>
      <c r="O192" s="600">
        <f>3037801.66*N192</f>
        <v>6075603.3200000003</v>
      </c>
      <c r="P192" s="600"/>
      <c r="Q192" s="600"/>
      <c r="R192" s="600"/>
      <c r="S192" s="600"/>
      <c r="T192" s="741"/>
      <c r="U192" s="741"/>
      <c r="V192" s="600">
        <f>75945.04*N192</f>
        <v>151890.07999999999</v>
      </c>
      <c r="W192" s="600">
        <f>O192*1.5/100</f>
        <v>91134.05</v>
      </c>
      <c r="X192" s="600"/>
      <c r="Y192" s="724"/>
      <c r="Z192" s="724"/>
      <c r="AA192" s="724"/>
      <c r="AB192" s="724">
        <f>SUM(O192+V192+W192)</f>
        <v>6318627.4500000002</v>
      </c>
      <c r="AC192" s="18"/>
      <c r="AD192" s="80">
        <v>2023</v>
      </c>
      <c r="AE192" s="80">
        <v>2024</v>
      </c>
      <c r="AF192" s="25"/>
      <c r="AG192" s="91"/>
    </row>
    <row r="193" spans="1:33" s="26" customFormat="1" ht="24" customHeight="1">
      <c r="A193" s="18">
        <f t="shared" si="68"/>
        <v>173</v>
      </c>
      <c r="B193" s="77" t="s">
        <v>95</v>
      </c>
      <c r="C193" s="725">
        <f t="shared" si="23"/>
        <v>8773699.1799999997</v>
      </c>
      <c r="D193" s="725"/>
      <c r="E193" s="18"/>
      <c r="F193" s="87"/>
      <c r="G193" s="727"/>
      <c r="H193" s="201"/>
      <c r="I193" s="201"/>
      <c r="J193" s="87"/>
      <c r="K193" s="750"/>
      <c r="L193" s="727"/>
      <c r="M193" s="204"/>
      <c r="N193" s="204"/>
      <c r="O193" s="764"/>
      <c r="P193" s="727">
        <f>ROUND(3942.2*1914.17,2)</f>
        <v>7546040.9699999997</v>
      </c>
      <c r="Q193" s="727"/>
      <c r="R193" s="725"/>
      <c r="S193" s="725"/>
      <c r="T193" s="739"/>
      <c r="U193" s="739"/>
      <c r="V193" s="3">
        <v>1114467.6000000001</v>
      </c>
      <c r="W193" s="600">
        <v>113190.61</v>
      </c>
      <c r="X193" s="87"/>
      <c r="Y193" s="87"/>
      <c r="Z193" s="87"/>
      <c r="AA193" s="87"/>
      <c r="AB193" s="86">
        <f t="shared" si="28"/>
        <v>8773699.1799999997</v>
      </c>
      <c r="AC193" s="18"/>
      <c r="AD193" s="18">
        <v>2023</v>
      </c>
      <c r="AE193" s="18">
        <v>2023</v>
      </c>
      <c r="AF193" s="25"/>
      <c r="AG193" s="91"/>
    </row>
    <row r="194" spans="1:33" s="26" customFormat="1" ht="24" customHeight="1">
      <c r="A194" s="18">
        <f t="shared" si="68"/>
        <v>174</v>
      </c>
      <c r="B194" s="434" t="s">
        <v>1007</v>
      </c>
      <c r="C194" s="563">
        <f t="shared" si="23"/>
        <v>2790000</v>
      </c>
      <c r="D194" s="563"/>
      <c r="E194" s="426"/>
      <c r="F194" s="734"/>
      <c r="G194" s="736"/>
      <c r="H194" s="747"/>
      <c r="I194" s="747"/>
      <c r="J194" s="734"/>
      <c r="K194" s="494"/>
      <c r="L194" s="736"/>
      <c r="M194" s="737"/>
      <c r="N194" s="737">
        <v>1</v>
      </c>
      <c r="O194" s="759">
        <v>2734000</v>
      </c>
      <c r="P194" s="736"/>
      <c r="Q194" s="736"/>
      <c r="R194" s="563"/>
      <c r="S194" s="563"/>
      <c r="T194" s="563"/>
      <c r="U194" s="563"/>
      <c r="V194" s="417">
        <v>56000</v>
      </c>
      <c r="W194" s="446"/>
      <c r="X194" s="734"/>
      <c r="Y194" s="734"/>
      <c r="Z194" s="734"/>
      <c r="AA194" s="734"/>
      <c r="AB194" s="735">
        <f>C194</f>
        <v>2790000</v>
      </c>
      <c r="AC194" s="426"/>
      <c r="AD194" s="426">
        <v>2023</v>
      </c>
      <c r="AE194" s="426">
        <v>2023</v>
      </c>
      <c r="AF194" s="91"/>
      <c r="AG194" s="91"/>
    </row>
    <row r="195" spans="1:33" s="26" customFormat="1" ht="24" customHeight="1">
      <c r="A195" s="18">
        <f t="shared" si="68"/>
        <v>175</v>
      </c>
      <c r="B195" s="77" t="s">
        <v>974</v>
      </c>
      <c r="C195" s="724">
        <f t="shared" ref="C195" si="70">SUM(D195:X195)-(E195+J195+N195)</f>
        <v>6318627.4500000002</v>
      </c>
      <c r="D195" s="600"/>
      <c r="E195" s="742"/>
      <c r="F195" s="600"/>
      <c r="G195" s="600"/>
      <c r="H195" s="600"/>
      <c r="I195" s="600"/>
      <c r="J195" s="724"/>
      <c r="K195" s="600"/>
      <c r="L195" s="600"/>
      <c r="M195" s="600"/>
      <c r="N195" s="878">
        <v>2</v>
      </c>
      <c r="O195" s="600">
        <f>3037801.66*N195</f>
        <v>6075603.3200000003</v>
      </c>
      <c r="P195" s="600"/>
      <c r="Q195" s="600"/>
      <c r="R195" s="600"/>
      <c r="S195" s="600"/>
      <c r="T195" s="741"/>
      <c r="U195" s="741"/>
      <c r="V195" s="600">
        <f>75945.04*N195</f>
        <v>151890.07999999999</v>
      </c>
      <c r="W195" s="600">
        <f>O195*1.5/100</f>
        <v>91134.05</v>
      </c>
      <c r="X195" s="600"/>
      <c r="Y195" s="743"/>
      <c r="Z195" s="743"/>
      <c r="AA195" s="743"/>
      <c r="AB195" s="724">
        <f>SUM(O195+V195+W195)</f>
        <v>6318627.4500000002</v>
      </c>
      <c r="AC195" s="18"/>
      <c r="AD195" s="80">
        <v>2023</v>
      </c>
      <c r="AE195" s="80">
        <v>2024</v>
      </c>
      <c r="AF195" s="25"/>
      <c r="AG195" s="91"/>
    </row>
    <row r="196" spans="1:33" s="26" customFormat="1" ht="24" customHeight="1">
      <c r="A196" s="18">
        <f t="shared" si="68"/>
        <v>176</v>
      </c>
      <c r="B196" s="20" t="s">
        <v>96</v>
      </c>
      <c r="C196" s="725">
        <f t="shared" si="23"/>
        <v>23404430.41</v>
      </c>
      <c r="D196" s="725"/>
      <c r="E196" s="87"/>
      <c r="F196" s="87"/>
      <c r="G196" s="727"/>
      <c r="H196" s="201"/>
      <c r="I196" s="201"/>
      <c r="J196" s="87"/>
      <c r="K196" s="750"/>
      <c r="L196" s="727"/>
      <c r="M196" s="204"/>
      <c r="N196" s="204"/>
      <c r="O196" s="204"/>
      <c r="P196" s="727">
        <f>ROUND(11286.4*1914.17,2)</f>
        <v>21604088.289999999</v>
      </c>
      <c r="Q196" s="727"/>
      <c r="R196" s="725"/>
      <c r="S196" s="725"/>
      <c r="T196" s="739"/>
      <c r="U196" s="739"/>
      <c r="V196" s="3">
        <v>1476280.8</v>
      </c>
      <c r="W196" s="600">
        <v>324061.32</v>
      </c>
      <c r="X196" s="87"/>
      <c r="Y196" s="87"/>
      <c r="Z196" s="87"/>
      <c r="AA196" s="87"/>
      <c r="AB196" s="86">
        <f t="shared" si="28"/>
        <v>23404430.41</v>
      </c>
      <c r="AC196" s="18"/>
      <c r="AD196" s="18">
        <v>2023</v>
      </c>
      <c r="AE196" s="18">
        <v>2023</v>
      </c>
      <c r="AF196" s="25"/>
      <c r="AG196" s="91"/>
    </row>
    <row r="197" spans="1:33" s="26" customFormat="1" ht="24" customHeight="1">
      <c r="A197" s="18">
        <f t="shared" si="68"/>
        <v>177</v>
      </c>
      <c r="B197" s="20" t="s">
        <v>97</v>
      </c>
      <c r="C197" s="725">
        <f t="shared" si="23"/>
        <v>11415005.23</v>
      </c>
      <c r="D197" s="725">
        <v>613449.93999999994</v>
      </c>
      <c r="E197" s="87"/>
      <c r="F197" s="87"/>
      <c r="G197" s="727">
        <v>556928.14</v>
      </c>
      <c r="H197" s="201">
        <v>945081.71</v>
      </c>
      <c r="I197" s="201">
        <f>ROUND(930.4*2933.55,2)</f>
        <v>2729374.92</v>
      </c>
      <c r="J197" s="87"/>
      <c r="K197" s="750"/>
      <c r="L197" s="727"/>
      <c r="M197" s="204"/>
      <c r="N197" s="204"/>
      <c r="O197" s="204"/>
      <c r="P197" s="204"/>
      <c r="Q197" s="727"/>
      <c r="R197" s="725">
        <f>ROUND(930.4*6480.9,2)</f>
        <v>6029829.3600000003</v>
      </c>
      <c r="S197" s="725"/>
      <c r="T197" s="739"/>
      <c r="U197" s="739"/>
      <c r="V197" s="3">
        <v>377221.2</v>
      </c>
      <c r="W197" s="600">
        <v>163119.96</v>
      </c>
      <c r="X197" s="87"/>
      <c r="Y197" s="87"/>
      <c r="Z197" s="87"/>
      <c r="AA197" s="87"/>
      <c r="AB197" s="86">
        <f t="shared" si="28"/>
        <v>11415005.23</v>
      </c>
      <c r="AC197" s="18"/>
      <c r="AD197" s="40" t="s">
        <v>346</v>
      </c>
      <c r="AE197" s="18">
        <v>2023</v>
      </c>
      <c r="AF197" s="25"/>
      <c r="AG197" s="91"/>
    </row>
    <row r="198" spans="1:33" s="26" customFormat="1" ht="24" customHeight="1">
      <c r="A198" s="18">
        <f t="shared" si="68"/>
        <v>178</v>
      </c>
      <c r="B198" s="20" t="s">
        <v>453</v>
      </c>
      <c r="C198" s="725">
        <f t="shared" si="23"/>
        <v>7649131.1799999997</v>
      </c>
      <c r="D198" s="725"/>
      <c r="E198" s="87"/>
      <c r="F198" s="87"/>
      <c r="G198" s="727"/>
      <c r="H198" s="201"/>
      <c r="I198" s="201"/>
      <c r="J198" s="87"/>
      <c r="K198" s="750"/>
      <c r="L198" s="727"/>
      <c r="M198" s="204"/>
      <c r="N198" s="204"/>
      <c r="O198" s="204"/>
      <c r="P198" s="204">
        <v>7038812.1100000003</v>
      </c>
      <c r="Q198" s="727"/>
      <c r="R198" s="725"/>
      <c r="S198" s="725"/>
      <c r="T198" s="739"/>
      <c r="U198" s="739"/>
      <c r="V198" s="3">
        <v>610319.06999999995</v>
      </c>
      <c r="W198" s="600"/>
      <c r="X198" s="87"/>
      <c r="Y198" s="87"/>
      <c r="Z198" s="86">
        <f>C198</f>
        <v>7649131.1799999997</v>
      </c>
      <c r="AA198" s="87"/>
      <c r="AB198" s="86"/>
      <c r="AC198" s="18"/>
      <c r="AD198" s="40" t="s">
        <v>454</v>
      </c>
      <c r="AE198" s="18">
        <v>2023</v>
      </c>
      <c r="AF198" s="25"/>
      <c r="AG198" s="91"/>
    </row>
    <row r="199" spans="1:33" s="26" customFormat="1" ht="24" customHeight="1">
      <c r="A199" s="18">
        <f t="shared" si="68"/>
        <v>179</v>
      </c>
      <c r="B199" s="20" t="s">
        <v>98</v>
      </c>
      <c r="C199" s="725">
        <f t="shared" si="23"/>
        <v>11138007.689999999</v>
      </c>
      <c r="D199" s="725"/>
      <c r="E199" s="87"/>
      <c r="F199" s="87"/>
      <c r="G199" s="727"/>
      <c r="H199" s="201"/>
      <c r="I199" s="201"/>
      <c r="J199" s="87"/>
      <c r="K199" s="750"/>
      <c r="L199" s="727"/>
      <c r="M199" s="204"/>
      <c r="N199" s="204"/>
      <c r="O199" s="204"/>
      <c r="P199" s="727">
        <f>ROUND(2925.8*3517.3,2)</f>
        <v>10290916.34</v>
      </c>
      <c r="Q199" s="727"/>
      <c r="R199" s="725"/>
      <c r="S199" s="725"/>
      <c r="T199" s="739"/>
      <c r="U199" s="739"/>
      <c r="V199" s="3">
        <v>692727.6</v>
      </c>
      <c r="W199" s="600">
        <v>154363.75</v>
      </c>
      <c r="X199" s="87"/>
      <c r="Y199" s="87"/>
      <c r="Z199" s="87"/>
      <c r="AA199" s="87"/>
      <c r="AB199" s="86">
        <f t="shared" si="28"/>
        <v>11138007.689999999</v>
      </c>
      <c r="AC199" s="18"/>
      <c r="AD199" s="18">
        <v>2023</v>
      </c>
      <c r="AE199" s="18">
        <v>2023</v>
      </c>
      <c r="AF199" s="25"/>
      <c r="AG199" s="91"/>
    </row>
    <row r="200" spans="1:33" s="26" customFormat="1" ht="24" customHeight="1">
      <c r="A200" s="18">
        <f t="shared" si="68"/>
        <v>180</v>
      </c>
      <c r="B200" s="20" t="s">
        <v>99</v>
      </c>
      <c r="C200" s="725">
        <f t="shared" si="23"/>
        <v>17593400.940000001</v>
      </c>
      <c r="D200" s="725"/>
      <c r="E200" s="87"/>
      <c r="F200" s="87"/>
      <c r="G200" s="727"/>
      <c r="H200" s="201"/>
      <c r="I200" s="201"/>
      <c r="J200" s="87"/>
      <c r="K200" s="750"/>
      <c r="L200" s="727"/>
      <c r="M200" s="204"/>
      <c r="N200" s="204"/>
      <c r="O200" s="204"/>
      <c r="P200" s="727">
        <f>ROUND(4708.2*3517.3,2)</f>
        <v>16560151.859999999</v>
      </c>
      <c r="Q200" s="727"/>
      <c r="R200" s="725"/>
      <c r="S200" s="725"/>
      <c r="T200" s="739"/>
      <c r="U200" s="739"/>
      <c r="V200" s="3">
        <v>784846.8</v>
      </c>
      <c r="W200" s="600">
        <v>248402.28</v>
      </c>
      <c r="X200" s="87"/>
      <c r="Y200" s="87"/>
      <c r="Z200" s="87"/>
      <c r="AA200" s="87"/>
      <c r="AB200" s="86">
        <f t="shared" si="28"/>
        <v>17593400.940000001</v>
      </c>
      <c r="AC200" s="18"/>
      <c r="AD200" s="18">
        <v>2023</v>
      </c>
      <c r="AE200" s="18">
        <v>2023</v>
      </c>
      <c r="AF200" s="25"/>
      <c r="AG200" s="91"/>
    </row>
    <row r="201" spans="1:33" s="26" customFormat="1" ht="24" customHeight="1">
      <c r="A201" s="18">
        <f t="shared" si="68"/>
        <v>181</v>
      </c>
      <c r="B201" s="20" t="s">
        <v>100</v>
      </c>
      <c r="C201" s="725">
        <f t="shared" si="23"/>
        <v>21611913.84</v>
      </c>
      <c r="D201" s="725"/>
      <c r="E201" s="87"/>
      <c r="F201" s="87"/>
      <c r="G201" s="727"/>
      <c r="H201" s="201"/>
      <c r="I201" s="201"/>
      <c r="J201" s="87"/>
      <c r="K201" s="750"/>
      <c r="L201" s="727"/>
      <c r="M201" s="204"/>
      <c r="N201" s="204"/>
      <c r="O201" s="204"/>
      <c r="P201" s="727">
        <f>ROUND(5822.5*3517.3,2)</f>
        <v>20479479.25</v>
      </c>
      <c r="Q201" s="727"/>
      <c r="R201" s="725"/>
      <c r="S201" s="725"/>
      <c r="T201" s="739"/>
      <c r="U201" s="739"/>
      <c r="V201" s="3">
        <v>825242.4</v>
      </c>
      <c r="W201" s="600">
        <v>307192.19</v>
      </c>
      <c r="X201" s="87"/>
      <c r="Y201" s="87"/>
      <c r="Z201" s="87"/>
      <c r="AA201" s="87"/>
      <c r="AB201" s="86">
        <f t="shared" si="28"/>
        <v>21611913.84</v>
      </c>
      <c r="AC201" s="18"/>
      <c r="AD201" s="18">
        <v>2023</v>
      </c>
      <c r="AE201" s="18">
        <v>2023</v>
      </c>
      <c r="AF201" s="25"/>
      <c r="AG201" s="91"/>
    </row>
    <row r="202" spans="1:33" s="26" customFormat="1" ht="24" customHeight="1">
      <c r="A202" s="18">
        <f t="shared" si="68"/>
        <v>182</v>
      </c>
      <c r="B202" s="20" t="s">
        <v>381</v>
      </c>
      <c r="C202" s="725">
        <f t="shared" si="23"/>
        <v>1732303.48</v>
      </c>
      <c r="D202" s="725"/>
      <c r="E202" s="87">
        <v>1</v>
      </c>
      <c r="F202" s="725">
        <v>1499912.31</v>
      </c>
      <c r="G202" s="727"/>
      <c r="H202" s="201"/>
      <c r="I202" s="201"/>
      <c r="J202" s="87"/>
      <c r="K202" s="750"/>
      <c r="L202" s="727"/>
      <c r="M202" s="204"/>
      <c r="N202" s="204"/>
      <c r="O202" s="204"/>
      <c r="P202" s="727"/>
      <c r="Q202" s="727"/>
      <c r="R202" s="725"/>
      <c r="S202" s="725"/>
      <c r="T202" s="739"/>
      <c r="U202" s="739"/>
      <c r="V202" s="3">
        <v>208319.99</v>
      </c>
      <c r="W202" s="600">
        <v>24071.18</v>
      </c>
      <c r="X202" s="87"/>
      <c r="Y202" s="87"/>
      <c r="Z202" s="86">
        <f>C202</f>
        <v>1732303.48</v>
      </c>
      <c r="AA202" s="87"/>
      <c r="AB202" s="86">
        <f>C202-Z202</f>
        <v>0</v>
      </c>
      <c r="AC202" s="18"/>
      <c r="AD202" s="18">
        <v>2023</v>
      </c>
      <c r="AE202" s="18">
        <v>2023</v>
      </c>
      <c r="AF202" s="25"/>
      <c r="AG202" s="91"/>
    </row>
    <row r="203" spans="1:33" s="26" customFormat="1" ht="24" customHeight="1">
      <c r="A203" s="18">
        <f t="shared" si="68"/>
        <v>183</v>
      </c>
      <c r="B203" s="20" t="s">
        <v>889</v>
      </c>
      <c r="C203" s="725">
        <f>D203+F203+G203+H203+I203+K203+L203+M203+O203+P203+Q203+R203+S203+W203+V203+X203</f>
        <v>2500448.63</v>
      </c>
      <c r="D203" s="725"/>
      <c r="E203" s="87"/>
      <c r="F203" s="87"/>
      <c r="G203" s="727"/>
      <c r="H203" s="201"/>
      <c r="I203" s="201"/>
      <c r="J203" s="87">
        <v>1</v>
      </c>
      <c r="K203" s="7">
        <f>(2501151.24-V203)/101.5*100</f>
        <v>2342020.9300000002</v>
      </c>
      <c r="L203" s="727"/>
      <c r="M203" s="204"/>
      <c r="N203" s="204"/>
      <c r="O203" s="204"/>
      <c r="P203" s="204"/>
      <c r="Q203" s="727"/>
      <c r="R203" s="725"/>
      <c r="S203" s="725"/>
      <c r="T203" s="739"/>
      <c r="U203" s="739"/>
      <c r="V203" s="3">
        <v>124000</v>
      </c>
      <c r="W203" s="600">
        <v>34427.699999999997</v>
      </c>
      <c r="X203" s="87"/>
      <c r="Y203" s="87"/>
      <c r="Z203" s="725">
        <f>K203+V203+W203</f>
        <v>2500448.63</v>
      </c>
      <c r="AA203" s="87"/>
      <c r="AB203" s="86"/>
      <c r="AC203" s="18"/>
      <c r="AD203" s="18">
        <v>2023</v>
      </c>
      <c r="AE203" s="18">
        <v>2023</v>
      </c>
      <c r="AF203" s="25"/>
      <c r="AG203" s="91"/>
    </row>
    <row r="204" spans="1:33" s="26" customFormat="1" ht="24" customHeight="1">
      <c r="A204" s="18">
        <f t="shared" si="68"/>
        <v>184</v>
      </c>
      <c r="B204" s="20" t="s">
        <v>101</v>
      </c>
      <c r="C204" s="725">
        <f t="shared" si="23"/>
        <v>16718946.560000001</v>
      </c>
      <c r="D204" s="725"/>
      <c r="E204" s="87"/>
      <c r="F204" s="87"/>
      <c r="G204" s="727"/>
      <c r="H204" s="201"/>
      <c r="I204" s="201"/>
      <c r="J204" s="87"/>
      <c r="K204" s="750"/>
      <c r="L204" s="727"/>
      <c r="M204" s="204"/>
      <c r="N204" s="204"/>
      <c r="O204" s="204"/>
      <c r="P204" s="727">
        <f>ROUND(7940.8*1914.17,2)</f>
        <v>15200041.140000001</v>
      </c>
      <c r="Q204" s="727"/>
      <c r="R204" s="725"/>
      <c r="S204" s="725"/>
      <c r="T204" s="739"/>
      <c r="U204" s="739"/>
      <c r="V204" s="3">
        <v>1290904.8</v>
      </c>
      <c r="W204" s="600">
        <v>228000.62</v>
      </c>
      <c r="X204" s="87"/>
      <c r="Y204" s="87"/>
      <c r="Z204" s="87"/>
      <c r="AA204" s="87"/>
      <c r="AB204" s="86">
        <f t="shared" si="28"/>
        <v>16718946.560000001</v>
      </c>
      <c r="AC204" s="18"/>
      <c r="AD204" s="18">
        <v>2023</v>
      </c>
      <c r="AE204" s="18">
        <v>2023</v>
      </c>
      <c r="AF204" s="25"/>
      <c r="AG204" s="91"/>
    </row>
    <row r="205" spans="1:33" s="26" customFormat="1" ht="24" customHeight="1">
      <c r="A205" s="18">
        <f t="shared" si="68"/>
        <v>185</v>
      </c>
      <c r="B205" s="20" t="s">
        <v>102</v>
      </c>
      <c r="C205" s="725">
        <f t="shared" si="23"/>
        <v>12067388.710000001</v>
      </c>
      <c r="D205" s="725"/>
      <c r="E205" s="87"/>
      <c r="F205" s="87"/>
      <c r="G205" s="727"/>
      <c r="H205" s="201"/>
      <c r="I205" s="201"/>
      <c r="J205" s="87"/>
      <c r="K205" s="750"/>
      <c r="L205" s="727"/>
      <c r="M205" s="204"/>
      <c r="N205" s="204"/>
      <c r="O205" s="204"/>
      <c r="P205" s="727">
        <f>ROUND(3181.7*3517.3,2)</f>
        <v>11190993.41</v>
      </c>
      <c r="Q205" s="727"/>
      <c r="R205" s="725"/>
      <c r="S205" s="725"/>
      <c r="T205" s="739"/>
      <c r="U205" s="739"/>
      <c r="V205" s="3">
        <v>708530.4</v>
      </c>
      <c r="W205" s="600">
        <v>167864.9</v>
      </c>
      <c r="X205" s="87"/>
      <c r="Y205" s="87"/>
      <c r="Z205" s="87"/>
      <c r="AA205" s="87"/>
      <c r="AB205" s="86">
        <f t="shared" si="28"/>
        <v>12067388.710000001</v>
      </c>
      <c r="AC205" s="18"/>
      <c r="AD205" s="18">
        <v>2023</v>
      </c>
      <c r="AE205" s="18">
        <v>2023</v>
      </c>
      <c r="AF205" s="25"/>
      <c r="AG205" s="91"/>
    </row>
    <row r="206" spans="1:33" s="26" customFormat="1" ht="24" customHeight="1">
      <c r="A206" s="18">
        <f t="shared" si="68"/>
        <v>186</v>
      </c>
      <c r="B206" s="55" t="s">
        <v>442</v>
      </c>
      <c r="C206" s="724">
        <f t="shared" ref="C206" si="71">SUM(D206:X206)-(E206+J206+N206)</f>
        <v>6318627.4500000002</v>
      </c>
      <c r="D206" s="600"/>
      <c r="E206" s="742"/>
      <c r="F206" s="600"/>
      <c r="G206" s="600"/>
      <c r="H206" s="600"/>
      <c r="I206" s="600"/>
      <c r="J206" s="724"/>
      <c r="K206" s="600"/>
      <c r="L206" s="600"/>
      <c r="M206" s="600"/>
      <c r="N206" s="878">
        <v>2</v>
      </c>
      <c r="O206" s="600">
        <f>3037801.66*N206</f>
        <v>6075603.3200000003</v>
      </c>
      <c r="P206" s="600"/>
      <c r="Q206" s="600"/>
      <c r="R206" s="600"/>
      <c r="S206" s="600"/>
      <c r="T206" s="741"/>
      <c r="U206" s="741"/>
      <c r="V206" s="600">
        <f>75945.04*N206</f>
        <v>151890.07999999999</v>
      </c>
      <c r="W206" s="600">
        <f>O206*1.5/100</f>
        <v>91134.05</v>
      </c>
      <c r="X206" s="600"/>
      <c r="Y206" s="743"/>
      <c r="Z206" s="743"/>
      <c r="AA206" s="743"/>
      <c r="AB206" s="724">
        <f>SUM(O206+V206+W206)</f>
        <v>6318627.4500000002</v>
      </c>
      <c r="AC206" s="18"/>
      <c r="AD206" s="80">
        <v>2023</v>
      </c>
      <c r="AE206" s="80">
        <v>2024</v>
      </c>
      <c r="AF206" s="25"/>
      <c r="AG206" s="91"/>
    </row>
    <row r="207" spans="1:33" s="26" customFormat="1" ht="24" customHeight="1">
      <c r="A207" s="18">
        <f t="shared" si="68"/>
        <v>187</v>
      </c>
      <c r="B207" s="55" t="s">
        <v>379</v>
      </c>
      <c r="C207" s="725">
        <f t="shared" si="23"/>
        <v>1851696.13</v>
      </c>
      <c r="D207" s="725"/>
      <c r="E207" s="87">
        <v>1</v>
      </c>
      <c r="F207" s="725">
        <v>1604744.95</v>
      </c>
      <c r="G207" s="727"/>
      <c r="H207" s="201"/>
      <c r="I207" s="201"/>
      <c r="J207" s="18"/>
      <c r="K207" s="750"/>
      <c r="L207" s="727"/>
      <c r="M207" s="204"/>
      <c r="N207" s="204"/>
      <c r="O207" s="204"/>
      <c r="P207" s="727"/>
      <c r="Q207" s="727"/>
      <c r="R207" s="725"/>
      <c r="S207" s="725"/>
      <c r="T207" s="739"/>
      <c r="U207" s="739"/>
      <c r="V207" s="3">
        <v>222880</v>
      </c>
      <c r="W207" s="600">
        <v>24071.18</v>
      </c>
      <c r="X207" s="87"/>
      <c r="Y207" s="87"/>
      <c r="Z207" s="86">
        <f>C207</f>
        <v>1851696.13</v>
      </c>
      <c r="AA207" s="87"/>
      <c r="AB207" s="86">
        <f>C207-Z207</f>
        <v>0</v>
      </c>
      <c r="AC207" s="18"/>
      <c r="AD207" s="18">
        <v>2023</v>
      </c>
      <c r="AE207" s="18">
        <v>2023</v>
      </c>
      <c r="AF207" s="25"/>
      <c r="AG207" s="91"/>
    </row>
    <row r="208" spans="1:33" s="26" customFormat="1" ht="24" customHeight="1">
      <c r="A208" s="18">
        <f t="shared" si="68"/>
        <v>188</v>
      </c>
      <c r="B208" s="55" t="s">
        <v>380</v>
      </c>
      <c r="C208" s="725">
        <f t="shared" ref="C208:C211" si="72">D208+F208+G208+H208+I208+K208+L208+M208+O208+P208+Q208+R208+S208+W208+V208+X208</f>
        <v>1851696.13</v>
      </c>
      <c r="D208" s="725"/>
      <c r="E208" s="87">
        <v>1</v>
      </c>
      <c r="F208" s="725">
        <v>1604744.95</v>
      </c>
      <c r="G208" s="727"/>
      <c r="H208" s="201"/>
      <c r="I208" s="201"/>
      <c r="J208" s="18"/>
      <c r="K208" s="750"/>
      <c r="L208" s="727"/>
      <c r="M208" s="204"/>
      <c r="N208" s="204"/>
      <c r="O208" s="204"/>
      <c r="P208" s="727"/>
      <c r="Q208" s="727"/>
      <c r="R208" s="725"/>
      <c r="S208" s="725"/>
      <c r="T208" s="739"/>
      <c r="U208" s="739"/>
      <c r="V208" s="3">
        <v>222880</v>
      </c>
      <c r="W208" s="600">
        <v>24071.18</v>
      </c>
      <c r="X208" s="87"/>
      <c r="Y208" s="87"/>
      <c r="Z208" s="86">
        <f>C208</f>
        <v>1851696.13</v>
      </c>
      <c r="AA208" s="87"/>
      <c r="AB208" s="86">
        <f>C208-Z208</f>
        <v>0</v>
      </c>
      <c r="AC208" s="18"/>
      <c r="AD208" s="18">
        <v>2023</v>
      </c>
      <c r="AE208" s="18">
        <v>2023</v>
      </c>
      <c r="AF208" s="25"/>
      <c r="AG208" s="91"/>
    </row>
    <row r="209" spans="1:33" s="26" customFormat="1" ht="24" customHeight="1">
      <c r="A209" s="18">
        <f t="shared" si="68"/>
        <v>189</v>
      </c>
      <c r="B209" s="55" t="s">
        <v>443</v>
      </c>
      <c r="C209" s="724">
        <f t="shared" ref="C209:C210" si="73">SUM(D209:X209)-(E209+J209+N209)</f>
        <v>3159313.72</v>
      </c>
      <c r="D209" s="600"/>
      <c r="E209" s="742"/>
      <c r="F209" s="600"/>
      <c r="G209" s="600"/>
      <c r="H209" s="600"/>
      <c r="I209" s="600"/>
      <c r="J209" s="39"/>
      <c r="K209" s="600"/>
      <c r="L209" s="600"/>
      <c r="M209" s="600"/>
      <c r="N209" s="878">
        <v>1</v>
      </c>
      <c r="O209" s="600">
        <f>3037801.66*N209</f>
        <v>3037801.66</v>
      </c>
      <c r="P209" s="600"/>
      <c r="Q209" s="600"/>
      <c r="R209" s="600"/>
      <c r="S209" s="600"/>
      <c r="T209" s="741"/>
      <c r="U209" s="741"/>
      <c r="V209" s="600">
        <f>75945.04*N209</f>
        <v>75945.039999999994</v>
      </c>
      <c r="W209" s="600">
        <f>O209*1.5/100</f>
        <v>45567.02</v>
      </c>
      <c r="X209" s="600"/>
      <c r="Y209" s="743"/>
      <c r="Z209" s="600"/>
      <c r="AA209" s="743"/>
      <c r="AB209" s="724">
        <f>SUM(O209+V209+W209)</f>
        <v>3159313.72</v>
      </c>
      <c r="AC209" s="18"/>
      <c r="AD209" s="80">
        <v>2023</v>
      </c>
      <c r="AE209" s="80">
        <v>2024</v>
      </c>
      <c r="AF209" s="25"/>
      <c r="AG209" s="91"/>
    </row>
    <row r="210" spans="1:33" s="26" customFormat="1" ht="24" customHeight="1">
      <c r="A210" s="18">
        <f t="shared" si="68"/>
        <v>190</v>
      </c>
      <c r="B210" s="437" t="s">
        <v>1008</v>
      </c>
      <c r="C210" s="444">
        <f t="shared" si="73"/>
        <v>2040427</v>
      </c>
      <c r="D210" s="446">
        <v>680142.33</v>
      </c>
      <c r="E210" s="871"/>
      <c r="F210" s="446"/>
      <c r="G210" s="446">
        <v>680142.33</v>
      </c>
      <c r="H210" s="446">
        <v>680142.34</v>
      </c>
      <c r="I210" s="446"/>
      <c r="J210" s="449"/>
      <c r="K210" s="446"/>
      <c r="L210" s="763"/>
      <c r="M210" s="763"/>
      <c r="N210" s="879"/>
      <c r="O210" s="763"/>
      <c r="P210" s="763"/>
      <c r="Q210" s="763"/>
      <c r="R210" s="446"/>
      <c r="S210" s="446"/>
      <c r="T210" s="446"/>
      <c r="U210" s="446"/>
      <c r="V210" s="446"/>
      <c r="W210" s="446"/>
      <c r="X210" s="446"/>
      <c r="Y210" s="765"/>
      <c r="Z210" s="446"/>
      <c r="AA210" s="765"/>
      <c r="AB210" s="444">
        <f>C210</f>
        <v>2040427</v>
      </c>
      <c r="AC210" s="426"/>
      <c r="AD210" s="426">
        <v>2023</v>
      </c>
      <c r="AE210" s="426">
        <v>2023</v>
      </c>
      <c r="AF210" s="91"/>
      <c r="AG210" s="91"/>
    </row>
    <row r="211" spans="1:33" s="26" customFormat="1" ht="24" customHeight="1">
      <c r="A211" s="18">
        <f t="shared" si="68"/>
        <v>191</v>
      </c>
      <c r="B211" s="55" t="s">
        <v>382</v>
      </c>
      <c r="C211" s="725">
        <f t="shared" si="72"/>
        <v>4106330.29</v>
      </c>
      <c r="D211" s="725"/>
      <c r="E211" s="87"/>
      <c r="F211" s="87"/>
      <c r="G211" s="727"/>
      <c r="H211" s="201"/>
      <c r="I211" s="201"/>
      <c r="J211" s="18"/>
      <c r="K211" s="27"/>
      <c r="L211" s="727"/>
      <c r="M211" s="204"/>
      <c r="N211" s="204"/>
      <c r="O211" s="204"/>
      <c r="P211" s="727">
        <v>3903321.37</v>
      </c>
      <c r="Q211" s="727"/>
      <c r="R211" s="725"/>
      <c r="S211" s="725"/>
      <c r="T211" s="739"/>
      <c r="U211" s="739"/>
      <c r="V211" s="3">
        <v>202229.52</v>
      </c>
      <c r="W211" s="600">
        <v>779.4</v>
      </c>
      <c r="X211" s="87"/>
      <c r="Y211" s="87"/>
      <c r="Z211" s="86">
        <f>C211</f>
        <v>4106330.29</v>
      </c>
      <c r="AA211" s="87"/>
      <c r="AB211" s="86">
        <f>C211-Z211</f>
        <v>0</v>
      </c>
      <c r="AC211" s="18"/>
      <c r="AD211" s="18">
        <v>2023</v>
      </c>
      <c r="AE211" s="18">
        <v>2023</v>
      </c>
      <c r="AF211" s="25"/>
      <c r="AG211" s="91"/>
    </row>
    <row r="212" spans="1:33" s="26" customFormat="1" ht="24" customHeight="1">
      <c r="A212" s="18">
        <f t="shared" si="68"/>
        <v>192</v>
      </c>
      <c r="B212" s="55" t="s">
        <v>103</v>
      </c>
      <c r="C212" s="725">
        <f t="shared" si="23"/>
        <v>8711378.8200000003</v>
      </c>
      <c r="D212" s="725"/>
      <c r="E212" s="87"/>
      <c r="F212" s="87"/>
      <c r="G212" s="727"/>
      <c r="H212" s="201"/>
      <c r="I212" s="201"/>
      <c r="J212" s="18"/>
      <c r="K212" s="750"/>
      <c r="L212" s="727"/>
      <c r="M212" s="204"/>
      <c r="N212" s="204"/>
      <c r="O212" s="204"/>
      <c r="P212" s="727">
        <f>ROUND(3909.6*1914.17,2)</f>
        <v>7483639.0300000003</v>
      </c>
      <c r="Q212" s="727"/>
      <c r="R212" s="725"/>
      <c r="S212" s="725"/>
      <c r="T212" s="739"/>
      <c r="U212" s="739"/>
      <c r="V212" s="3">
        <v>1115485.2</v>
      </c>
      <c r="W212" s="600">
        <v>112254.59</v>
      </c>
      <c r="X212" s="87"/>
      <c r="Y212" s="87"/>
      <c r="Z212" s="87"/>
      <c r="AA212" s="87"/>
      <c r="AB212" s="86">
        <f t="shared" si="28"/>
        <v>8711378.8200000003</v>
      </c>
      <c r="AC212" s="18"/>
      <c r="AD212" s="18">
        <v>2023</v>
      </c>
      <c r="AE212" s="18">
        <v>2023</v>
      </c>
      <c r="AF212" s="25"/>
      <c r="AG212" s="91"/>
    </row>
    <row r="213" spans="1:33" s="26" customFormat="1" ht="24" customHeight="1">
      <c r="A213" s="18">
        <f t="shared" si="68"/>
        <v>193</v>
      </c>
      <c r="B213" s="437" t="s">
        <v>104</v>
      </c>
      <c r="C213" s="563">
        <f t="shared" si="23"/>
        <v>60309614.899999999</v>
      </c>
      <c r="D213" s="563">
        <v>1959904.21</v>
      </c>
      <c r="E213" s="734"/>
      <c r="F213" s="734"/>
      <c r="G213" s="736">
        <v>1866307.88</v>
      </c>
      <c r="H213" s="747">
        <v>1694213.43</v>
      </c>
      <c r="I213" s="747">
        <v>11761348.289999999</v>
      </c>
      <c r="J213" s="426"/>
      <c r="K213" s="494"/>
      <c r="L213" s="736">
        <v>2376785.77</v>
      </c>
      <c r="M213" s="737"/>
      <c r="N213" s="422"/>
      <c r="O213" s="737"/>
      <c r="P213" s="759">
        <v>16566113.460000001</v>
      </c>
      <c r="Q213" s="736">
        <f>ROUND(3893.6*706.71,2)</f>
        <v>2751646.06</v>
      </c>
      <c r="R213" s="563">
        <f>ROUND(3893.6*3435.59,2)</f>
        <v>13376813.220000001</v>
      </c>
      <c r="S213" s="563">
        <f>ROUND(3893.6*1135.41,2)</f>
        <v>4420832.38</v>
      </c>
      <c r="T213" s="563"/>
      <c r="U213" s="563"/>
      <c r="V213" s="417">
        <v>3500538.13</v>
      </c>
      <c r="W213" s="446">
        <v>35112.07</v>
      </c>
      <c r="X213" s="734"/>
      <c r="Y213" s="734"/>
      <c r="Z213" s="735">
        <v>17762476.390000001</v>
      </c>
      <c r="AA213" s="734"/>
      <c r="AB213" s="735">
        <f>C213-Z213</f>
        <v>42547138.509999998</v>
      </c>
      <c r="AC213" s="18"/>
      <c r="AD213" s="18">
        <v>2023</v>
      </c>
      <c r="AE213" s="18">
        <v>2023</v>
      </c>
      <c r="AF213" s="25"/>
      <c r="AG213" s="91"/>
    </row>
    <row r="214" spans="1:33" s="26" customFormat="1" ht="24" customHeight="1">
      <c r="A214" s="18">
        <f t="shared" si="68"/>
        <v>194</v>
      </c>
      <c r="B214" s="55" t="s">
        <v>456</v>
      </c>
      <c r="C214" s="725">
        <f t="shared" si="23"/>
        <v>1827624.95</v>
      </c>
      <c r="D214" s="725"/>
      <c r="E214" s="742">
        <v>1</v>
      </c>
      <c r="F214" s="600">
        <v>1604744.95</v>
      </c>
      <c r="G214" s="712"/>
      <c r="H214" s="600"/>
      <c r="I214" s="600"/>
      <c r="J214" s="742"/>
      <c r="K214" s="600"/>
      <c r="L214" s="712"/>
      <c r="M214" s="712"/>
      <c r="N214" s="83"/>
      <c r="O214" s="712"/>
      <c r="P214" s="600"/>
      <c r="Q214" s="600"/>
      <c r="R214" s="600"/>
      <c r="S214" s="600"/>
      <c r="T214" s="741"/>
      <c r="U214" s="741"/>
      <c r="V214" s="600">
        <v>222880</v>
      </c>
      <c r="W214" s="600"/>
      <c r="X214" s="87"/>
      <c r="Y214" s="87"/>
      <c r="Z214" s="86">
        <f>C214</f>
        <v>1827624.95</v>
      </c>
      <c r="AA214" s="87"/>
      <c r="AB214" s="86"/>
      <c r="AC214" s="87"/>
      <c r="AD214" s="18">
        <v>2023</v>
      </c>
      <c r="AE214" s="18">
        <v>2023</v>
      </c>
      <c r="AF214" s="25"/>
      <c r="AG214" s="91"/>
    </row>
    <row r="215" spans="1:33" s="26" customFormat="1" ht="24" customHeight="1">
      <c r="A215" s="18">
        <f t="shared" si="68"/>
        <v>195</v>
      </c>
      <c r="B215" s="55" t="s">
        <v>444</v>
      </c>
      <c r="C215" s="724">
        <f t="shared" ref="C215" si="74">SUM(D215:X215)-(E215+J215+N215)</f>
        <v>6318627.4500000002</v>
      </c>
      <c r="D215" s="600"/>
      <c r="E215" s="80"/>
      <c r="F215" s="600"/>
      <c r="G215" s="600"/>
      <c r="H215" s="600"/>
      <c r="I215" s="600"/>
      <c r="J215" s="724"/>
      <c r="K215" s="78"/>
      <c r="L215" s="78"/>
      <c r="M215" s="78"/>
      <c r="N215" s="878">
        <v>2</v>
      </c>
      <c r="O215" s="600">
        <f>3037801.66*N215</f>
        <v>6075603.3200000003</v>
      </c>
      <c r="P215" s="600"/>
      <c r="Q215" s="600"/>
      <c r="R215" s="600"/>
      <c r="S215" s="600"/>
      <c r="T215" s="741"/>
      <c r="U215" s="741"/>
      <c r="V215" s="600">
        <f>75945.04*N215</f>
        <v>151890.07999999999</v>
      </c>
      <c r="W215" s="600">
        <f>O215*1.5/100</f>
        <v>91134.05</v>
      </c>
      <c r="X215" s="600"/>
      <c r="Y215" s="743"/>
      <c r="Z215" s="743"/>
      <c r="AA215" s="743"/>
      <c r="AB215" s="724">
        <v>6318627.4500000002</v>
      </c>
      <c r="AC215" s="87"/>
      <c r="AD215" s="80">
        <v>2023</v>
      </c>
      <c r="AE215" s="80">
        <v>2024</v>
      </c>
      <c r="AF215" s="25"/>
      <c r="AG215" s="91"/>
    </row>
    <row r="216" spans="1:33" s="26" customFormat="1" ht="24" customHeight="1">
      <c r="A216" s="18">
        <f t="shared" si="68"/>
        <v>196</v>
      </c>
      <c r="B216" s="20" t="s">
        <v>1213</v>
      </c>
      <c r="C216" s="725">
        <f t="shared" si="23"/>
        <v>2500448.63</v>
      </c>
      <c r="D216" s="725"/>
      <c r="E216" s="21"/>
      <c r="F216" s="87"/>
      <c r="G216" s="727"/>
      <c r="H216" s="201"/>
      <c r="I216" s="201"/>
      <c r="J216" s="87">
        <v>1</v>
      </c>
      <c r="K216" s="7">
        <f t="shared" ref="K216:K227" si="75">(2501151.24-124000)/101.5*100</f>
        <v>2342020.9300000002</v>
      </c>
      <c r="L216" s="12"/>
      <c r="M216" s="22"/>
      <c r="N216" s="22"/>
      <c r="O216" s="204"/>
      <c r="P216" s="204"/>
      <c r="Q216" s="727"/>
      <c r="R216" s="725"/>
      <c r="S216" s="725"/>
      <c r="T216" s="739"/>
      <c r="U216" s="739"/>
      <c r="V216" s="3">
        <v>124000</v>
      </c>
      <c r="W216" s="600">
        <v>34427.699999999997</v>
      </c>
      <c r="X216" s="87"/>
      <c r="Y216" s="87"/>
      <c r="Z216" s="725">
        <f t="shared" ref="Z216:Z222" si="76">K216+V216+W216</f>
        <v>2500448.63</v>
      </c>
      <c r="AA216" s="87"/>
      <c r="AB216" s="86"/>
      <c r="AC216" s="87"/>
      <c r="AD216" s="18">
        <v>2023</v>
      </c>
      <c r="AE216" s="18">
        <v>2023</v>
      </c>
      <c r="AF216" s="25"/>
      <c r="AG216" s="91"/>
    </row>
    <row r="217" spans="1:33" s="26" customFormat="1" ht="24" customHeight="1">
      <c r="A217" s="18">
        <f t="shared" si="68"/>
        <v>197</v>
      </c>
      <c r="B217" s="20" t="s">
        <v>1214</v>
      </c>
      <c r="C217" s="725">
        <f t="shared" si="23"/>
        <v>2500448.63</v>
      </c>
      <c r="D217" s="725"/>
      <c r="E217" s="21"/>
      <c r="F217" s="87"/>
      <c r="G217" s="727"/>
      <c r="H217" s="201"/>
      <c r="I217" s="201"/>
      <c r="J217" s="87">
        <v>1</v>
      </c>
      <c r="K217" s="7">
        <f t="shared" si="75"/>
        <v>2342020.9300000002</v>
      </c>
      <c r="L217" s="12"/>
      <c r="M217" s="22"/>
      <c r="N217" s="22"/>
      <c r="O217" s="204"/>
      <c r="P217" s="204"/>
      <c r="Q217" s="727"/>
      <c r="R217" s="725"/>
      <c r="S217" s="725"/>
      <c r="T217" s="739"/>
      <c r="U217" s="739"/>
      <c r="V217" s="3">
        <v>124000</v>
      </c>
      <c r="W217" s="600">
        <v>34427.699999999997</v>
      </c>
      <c r="X217" s="87"/>
      <c r="Y217" s="87"/>
      <c r="Z217" s="725">
        <f t="shared" si="76"/>
        <v>2500448.63</v>
      </c>
      <c r="AA217" s="87"/>
      <c r="AB217" s="86"/>
      <c r="AC217" s="87"/>
      <c r="AD217" s="18">
        <v>2023</v>
      </c>
      <c r="AE217" s="18">
        <v>2023</v>
      </c>
      <c r="AF217" s="25"/>
      <c r="AG217" s="91"/>
    </row>
    <row r="218" spans="1:33" s="26" customFormat="1" ht="24" customHeight="1">
      <c r="A218" s="18">
        <f t="shared" si="68"/>
        <v>198</v>
      </c>
      <c r="B218" s="20" t="s">
        <v>1216</v>
      </c>
      <c r="C218" s="725">
        <f t="shared" si="23"/>
        <v>2500448.63</v>
      </c>
      <c r="D218" s="725"/>
      <c r="E218" s="21"/>
      <c r="F218" s="87"/>
      <c r="G218" s="727"/>
      <c r="H218" s="201"/>
      <c r="I218" s="201"/>
      <c r="J218" s="87">
        <v>1</v>
      </c>
      <c r="K218" s="7">
        <f t="shared" si="75"/>
        <v>2342020.9300000002</v>
      </c>
      <c r="L218" s="12"/>
      <c r="M218" s="22"/>
      <c r="N218" s="22"/>
      <c r="O218" s="204"/>
      <c r="P218" s="204"/>
      <c r="Q218" s="727"/>
      <c r="R218" s="725"/>
      <c r="S218" s="725"/>
      <c r="T218" s="739"/>
      <c r="U218" s="739"/>
      <c r="V218" s="3">
        <v>124000</v>
      </c>
      <c r="W218" s="600">
        <v>34427.699999999997</v>
      </c>
      <c r="X218" s="87"/>
      <c r="Y218" s="87"/>
      <c r="Z218" s="725">
        <f t="shared" si="76"/>
        <v>2500448.63</v>
      </c>
      <c r="AA218" s="87"/>
      <c r="AB218" s="86"/>
      <c r="AC218" s="87"/>
      <c r="AD218" s="18">
        <v>2023</v>
      </c>
      <c r="AE218" s="18">
        <v>2023</v>
      </c>
      <c r="AF218" s="25"/>
      <c r="AG218" s="91"/>
    </row>
    <row r="219" spans="1:33" s="26" customFormat="1" ht="24" customHeight="1">
      <c r="A219" s="18">
        <f t="shared" si="68"/>
        <v>199</v>
      </c>
      <c r="B219" s="20" t="s">
        <v>1215</v>
      </c>
      <c r="C219" s="725">
        <f t="shared" si="23"/>
        <v>2500448.63</v>
      </c>
      <c r="D219" s="725"/>
      <c r="E219" s="21"/>
      <c r="F219" s="87"/>
      <c r="G219" s="727"/>
      <c r="H219" s="201"/>
      <c r="I219" s="201"/>
      <c r="J219" s="87">
        <v>1</v>
      </c>
      <c r="K219" s="7">
        <f t="shared" si="75"/>
        <v>2342020.9300000002</v>
      </c>
      <c r="L219" s="12"/>
      <c r="M219" s="22"/>
      <c r="N219" s="22"/>
      <c r="O219" s="204"/>
      <c r="P219" s="204"/>
      <c r="Q219" s="727"/>
      <c r="R219" s="725"/>
      <c r="S219" s="725"/>
      <c r="T219" s="739"/>
      <c r="U219" s="739"/>
      <c r="V219" s="3">
        <v>124000</v>
      </c>
      <c r="W219" s="600">
        <v>34427.699999999997</v>
      </c>
      <c r="X219" s="87"/>
      <c r="Y219" s="87"/>
      <c r="Z219" s="725">
        <f t="shared" si="76"/>
        <v>2500448.63</v>
      </c>
      <c r="AA219" s="87"/>
      <c r="AB219" s="86"/>
      <c r="AC219" s="87"/>
      <c r="AD219" s="18">
        <v>2023</v>
      </c>
      <c r="AE219" s="18">
        <v>2023</v>
      </c>
      <c r="AF219" s="25"/>
      <c r="AG219" s="91"/>
    </row>
    <row r="220" spans="1:33" s="26" customFormat="1" ht="24" customHeight="1">
      <c r="A220" s="18">
        <f t="shared" si="68"/>
        <v>200</v>
      </c>
      <c r="B220" s="20" t="s">
        <v>1217</v>
      </c>
      <c r="C220" s="725">
        <f t="shared" si="23"/>
        <v>2500448.63</v>
      </c>
      <c r="D220" s="725"/>
      <c r="E220" s="21"/>
      <c r="F220" s="87"/>
      <c r="G220" s="727"/>
      <c r="H220" s="201"/>
      <c r="I220" s="201"/>
      <c r="J220" s="87">
        <v>1</v>
      </c>
      <c r="K220" s="7">
        <f t="shared" si="75"/>
        <v>2342020.9300000002</v>
      </c>
      <c r="L220" s="12"/>
      <c r="M220" s="22"/>
      <c r="N220" s="22"/>
      <c r="O220" s="204"/>
      <c r="P220" s="204"/>
      <c r="Q220" s="727"/>
      <c r="R220" s="725"/>
      <c r="S220" s="725"/>
      <c r="T220" s="739"/>
      <c r="U220" s="739"/>
      <c r="V220" s="3">
        <v>124000</v>
      </c>
      <c r="W220" s="600">
        <v>34427.699999999997</v>
      </c>
      <c r="X220" s="87"/>
      <c r="Y220" s="87"/>
      <c r="Z220" s="725">
        <f t="shared" si="76"/>
        <v>2500448.63</v>
      </c>
      <c r="AA220" s="87"/>
      <c r="AB220" s="86"/>
      <c r="AC220" s="87"/>
      <c r="AD220" s="18">
        <v>2023</v>
      </c>
      <c r="AE220" s="18">
        <v>2023</v>
      </c>
      <c r="AF220" s="25"/>
      <c r="AG220" s="91"/>
    </row>
    <row r="221" spans="1:33" s="26" customFormat="1" ht="24" customHeight="1">
      <c r="A221" s="18">
        <f t="shared" si="68"/>
        <v>201</v>
      </c>
      <c r="B221" s="20" t="s">
        <v>1218</v>
      </c>
      <c r="C221" s="725">
        <f t="shared" si="23"/>
        <v>2500448.63</v>
      </c>
      <c r="D221" s="725"/>
      <c r="E221" s="21"/>
      <c r="F221" s="87"/>
      <c r="G221" s="727"/>
      <c r="H221" s="201"/>
      <c r="I221" s="201"/>
      <c r="J221" s="87">
        <v>1</v>
      </c>
      <c r="K221" s="7">
        <f t="shared" si="75"/>
        <v>2342020.9300000002</v>
      </c>
      <c r="L221" s="12"/>
      <c r="M221" s="22"/>
      <c r="N221" s="22"/>
      <c r="O221" s="204"/>
      <c r="P221" s="204"/>
      <c r="Q221" s="727"/>
      <c r="R221" s="725"/>
      <c r="S221" s="725"/>
      <c r="T221" s="739"/>
      <c r="U221" s="739"/>
      <c r="V221" s="3">
        <v>124000</v>
      </c>
      <c r="W221" s="600">
        <v>34427.699999999997</v>
      </c>
      <c r="X221" s="87"/>
      <c r="Y221" s="87"/>
      <c r="Z221" s="725">
        <f t="shared" si="76"/>
        <v>2500448.63</v>
      </c>
      <c r="AA221" s="87"/>
      <c r="AB221" s="86"/>
      <c r="AC221" s="87"/>
      <c r="AD221" s="18">
        <v>2023</v>
      </c>
      <c r="AE221" s="18">
        <v>2023</v>
      </c>
      <c r="AF221" s="25"/>
      <c r="AG221" s="91"/>
    </row>
    <row r="222" spans="1:33" s="26" customFormat="1" ht="24" customHeight="1">
      <c r="A222" s="18">
        <f t="shared" si="68"/>
        <v>202</v>
      </c>
      <c r="B222" s="20" t="s">
        <v>1219</v>
      </c>
      <c r="C222" s="725">
        <f t="shared" si="23"/>
        <v>2500448.63</v>
      </c>
      <c r="D222" s="725"/>
      <c r="E222" s="21"/>
      <c r="F222" s="87"/>
      <c r="G222" s="727"/>
      <c r="H222" s="201"/>
      <c r="I222" s="201"/>
      <c r="J222" s="87">
        <v>1</v>
      </c>
      <c r="K222" s="7">
        <f t="shared" si="75"/>
        <v>2342020.9300000002</v>
      </c>
      <c r="L222" s="12"/>
      <c r="M222" s="22"/>
      <c r="N222" s="22"/>
      <c r="O222" s="204"/>
      <c r="P222" s="204"/>
      <c r="Q222" s="727"/>
      <c r="R222" s="725"/>
      <c r="S222" s="725"/>
      <c r="T222" s="739"/>
      <c r="U222" s="739"/>
      <c r="V222" s="3">
        <v>124000</v>
      </c>
      <c r="W222" s="600">
        <v>34427.699999999997</v>
      </c>
      <c r="X222" s="87"/>
      <c r="Y222" s="87"/>
      <c r="Z222" s="725">
        <f t="shared" si="76"/>
        <v>2500448.63</v>
      </c>
      <c r="AA222" s="87"/>
      <c r="AB222" s="86"/>
      <c r="AC222" s="87"/>
      <c r="AD222" s="18">
        <v>2023</v>
      </c>
      <c r="AE222" s="18">
        <v>2023</v>
      </c>
      <c r="AF222" s="25"/>
      <c r="AG222" s="91"/>
    </row>
    <row r="223" spans="1:33" s="26" customFormat="1" ht="24" customHeight="1">
      <c r="A223" s="18">
        <f t="shared" si="68"/>
        <v>203</v>
      </c>
      <c r="B223" s="20" t="s">
        <v>1220</v>
      </c>
      <c r="C223" s="725">
        <f t="shared" si="23"/>
        <v>14597158.01</v>
      </c>
      <c r="D223" s="725"/>
      <c r="E223" s="21"/>
      <c r="F223" s="87"/>
      <c r="G223" s="727"/>
      <c r="H223" s="201"/>
      <c r="I223" s="201"/>
      <c r="J223" s="87">
        <v>1</v>
      </c>
      <c r="K223" s="7">
        <f t="shared" si="75"/>
        <v>2342020.9300000002</v>
      </c>
      <c r="L223" s="12"/>
      <c r="M223" s="22"/>
      <c r="N223" s="22"/>
      <c r="O223" s="204"/>
      <c r="P223" s="204"/>
      <c r="Q223" s="727"/>
      <c r="R223" s="725">
        <v>11144699.810000001</v>
      </c>
      <c r="S223" s="725"/>
      <c r="T223" s="739"/>
      <c r="U223" s="739"/>
      <c r="V223" s="3">
        <v>1056974.8799999999</v>
      </c>
      <c r="W223" s="600">
        <v>53462.39</v>
      </c>
      <c r="X223" s="87"/>
      <c r="Y223" s="87"/>
      <c r="Z223" s="725">
        <v>2500448.63</v>
      </c>
      <c r="AA223" s="87"/>
      <c r="AB223" s="86">
        <f>C223-Z223</f>
        <v>12096709.380000001</v>
      </c>
      <c r="AC223" s="87"/>
      <c r="AD223" s="18">
        <v>2023</v>
      </c>
      <c r="AE223" s="18">
        <v>2023</v>
      </c>
      <c r="AF223" s="25"/>
      <c r="AG223" s="91"/>
    </row>
    <row r="224" spans="1:33" s="26" customFormat="1" ht="24" customHeight="1">
      <c r="A224" s="18">
        <f t="shared" si="68"/>
        <v>204</v>
      </c>
      <c r="B224" s="20" t="s">
        <v>1221</v>
      </c>
      <c r="C224" s="725">
        <f t="shared" si="23"/>
        <v>2500448.63</v>
      </c>
      <c r="D224" s="725"/>
      <c r="E224" s="21"/>
      <c r="F224" s="87"/>
      <c r="G224" s="727"/>
      <c r="H224" s="201"/>
      <c r="I224" s="201"/>
      <c r="J224" s="87">
        <v>1</v>
      </c>
      <c r="K224" s="7">
        <f t="shared" si="75"/>
        <v>2342020.9300000002</v>
      </c>
      <c r="L224" s="12"/>
      <c r="M224" s="22"/>
      <c r="N224" s="22"/>
      <c r="O224" s="204"/>
      <c r="P224" s="204"/>
      <c r="Q224" s="727"/>
      <c r="R224" s="725"/>
      <c r="S224" s="725"/>
      <c r="T224" s="739"/>
      <c r="U224" s="739"/>
      <c r="V224" s="3">
        <v>124000</v>
      </c>
      <c r="W224" s="600">
        <v>34427.699999999997</v>
      </c>
      <c r="X224" s="87"/>
      <c r="Y224" s="87"/>
      <c r="Z224" s="725">
        <f t="shared" ref="Z224:Z229" si="77">K224+V224+W224</f>
        <v>2500448.63</v>
      </c>
      <c r="AA224" s="87"/>
      <c r="AB224" s="86"/>
      <c r="AC224" s="87"/>
      <c r="AD224" s="18">
        <v>2023</v>
      </c>
      <c r="AE224" s="18">
        <v>2023</v>
      </c>
      <c r="AF224" s="25"/>
      <c r="AG224" s="91"/>
    </row>
    <row r="225" spans="1:33" s="26" customFormat="1" ht="24" customHeight="1">
      <c r="A225" s="18">
        <f t="shared" si="68"/>
        <v>205</v>
      </c>
      <c r="B225" s="20" t="s">
        <v>1222</v>
      </c>
      <c r="C225" s="725">
        <f t="shared" si="23"/>
        <v>2500448.63</v>
      </c>
      <c r="D225" s="725"/>
      <c r="E225" s="21"/>
      <c r="F225" s="87"/>
      <c r="G225" s="727"/>
      <c r="H225" s="201"/>
      <c r="I225" s="201"/>
      <c r="J225" s="87">
        <v>1</v>
      </c>
      <c r="K225" s="7">
        <f t="shared" si="75"/>
        <v>2342020.9300000002</v>
      </c>
      <c r="L225" s="12"/>
      <c r="M225" s="22"/>
      <c r="N225" s="22"/>
      <c r="O225" s="204"/>
      <c r="P225" s="204"/>
      <c r="Q225" s="727"/>
      <c r="R225" s="725"/>
      <c r="S225" s="725"/>
      <c r="T225" s="739"/>
      <c r="U225" s="739"/>
      <c r="V225" s="3">
        <v>124000</v>
      </c>
      <c r="W225" s="600">
        <v>34427.699999999997</v>
      </c>
      <c r="X225" s="87"/>
      <c r="Y225" s="87"/>
      <c r="Z225" s="725">
        <f t="shared" si="77"/>
        <v>2500448.63</v>
      </c>
      <c r="AA225" s="87"/>
      <c r="AB225" s="86"/>
      <c r="AC225" s="87"/>
      <c r="AD225" s="18">
        <v>2023</v>
      </c>
      <c r="AE225" s="18">
        <v>2023</v>
      </c>
      <c r="AF225" s="25"/>
      <c r="AG225" s="91"/>
    </row>
    <row r="226" spans="1:33" s="26" customFormat="1" ht="24" customHeight="1">
      <c r="A226" s="18">
        <f t="shared" si="68"/>
        <v>206</v>
      </c>
      <c r="B226" s="20" t="s">
        <v>1223</v>
      </c>
      <c r="C226" s="725">
        <f t="shared" si="23"/>
        <v>2500448.63</v>
      </c>
      <c r="D226" s="725"/>
      <c r="E226" s="21"/>
      <c r="F226" s="87"/>
      <c r="G226" s="727"/>
      <c r="H226" s="201"/>
      <c r="I226" s="201"/>
      <c r="J226" s="87">
        <v>1</v>
      </c>
      <c r="K226" s="7">
        <f t="shared" si="75"/>
        <v>2342020.9300000002</v>
      </c>
      <c r="L226" s="12"/>
      <c r="M226" s="22"/>
      <c r="N226" s="22"/>
      <c r="O226" s="204"/>
      <c r="P226" s="204"/>
      <c r="Q226" s="727"/>
      <c r="R226" s="725"/>
      <c r="S226" s="725"/>
      <c r="T226" s="739"/>
      <c r="U226" s="739"/>
      <c r="V226" s="3">
        <v>124000</v>
      </c>
      <c r="W226" s="600">
        <v>34427.699999999997</v>
      </c>
      <c r="X226" s="87"/>
      <c r="Y226" s="87"/>
      <c r="Z226" s="725">
        <f t="shared" si="77"/>
        <v>2500448.63</v>
      </c>
      <c r="AA226" s="87"/>
      <c r="AB226" s="86"/>
      <c r="AC226" s="87"/>
      <c r="AD226" s="18">
        <v>2023</v>
      </c>
      <c r="AE226" s="18">
        <v>2023</v>
      </c>
      <c r="AF226" s="25"/>
      <c r="AG226" s="91"/>
    </row>
    <row r="227" spans="1:33" s="26" customFormat="1" ht="24" customHeight="1">
      <c r="A227" s="18">
        <f t="shared" si="68"/>
        <v>207</v>
      </c>
      <c r="B227" s="20" t="s">
        <v>1224</v>
      </c>
      <c r="C227" s="725">
        <f t="shared" si="23"/>
        <v>2500448.63</v>
      </c>
      <c r="D227" s="725"/>
      <c r="E227" s="21"/>
      <c r="F227" s="87"/>
      <c r="G227" s="727"/>
      <c r="H227" s="201"/>
      <c r="I227" s="201"/>
      <c r="J227" s="87">
        <v>1</v>
      </c>
      <c r="K227" s="7">
        <f t="shared" si="75"/>
        <v>2342020.9300000002</v>
      </c>
      <c r="L227" s="12"/>
      <c r="M227" s="22"/>
      <c r="N227" s="22"/>
      <c r="O227" s="204"/>
      <c r="P227" s="204"/>
      <c r="Q227" s="727"/>
      <c r="R227" s="725"/>
      <c r="S227" s="725"/>
      <c r="T227" s="739"/>
      <c r="U227" s="739"/>
      <c r="V227" s="3">
        <v>124000</v>
      </c>
      <c r="W227" s="600">
        <v>34427.699999999997</v>
      </c>
      <c r="X227" s="87"/>
      <c r="Y227" s="87"/>
      <c r="Z227" s="725">
        <f t="shared" si="77"/>
        <v>2500448.63</v>
      </c>
      <c r="AA227" s="87"/>
      <c r="AB227" s="86"/>
      <c r="AC227" s="87"/>
      <c r="AD227" s="18">
        <v>2023</v>
      </c>
      <c r="AE227" s="18">
        <v>2023</v>
      </c>
      <c r="AF227" s="25"/>
      <c r="AG227" s="91"/>
    </row>
    <row r="228" spans="1:33" s="26" customFormat="1" ht="24" customHeight="1">
      <c r="A228" s="18">
        <f t="shared" si="68"/>
        <v>208</v>
      </c>
      <c r="B228" s="20" t="s">
        <v>105</v>
      </c>
      <c r="C228" s="725">
        <f t="shared" si="23"/>
        <v>2500448.63</v>
      </c>
      <c r="D228" s="725"/>
      <c r="E228" s="21"/>
      <c r="F228" s="87"/>
      <c r="G228" s="727"/>
      <c r="H228" s="201"/>
      <c r="I228" s="201"/>
      <c r="J228" s="87">
        <v>1</v>
      </c>
      <c r="K228" s="7">
        <f t="shared" ref="K228:K229" si="78">(2501151.24-124000)/101.5*100</f>
        <v>2342020.9300000002</v>
      </c>
      <c r="L228" s="12"/>
      <c r="M228" s="22"/>
      <c r="N228" s="22"/>
      <c r="O228" s="204"/>
      <c r="P228" s="204"/>
      <c r="Q228" s="727"/>
      <c r="R228" s="725"/>
      <c r="S228" s="725"/>
      <c r="T228" s="739"/>
      <c r="U228" s="739"/>
      <c r="V228" s="3">
        <v>124000</v>
      </c>
      <c r="W228" s="600">
        <v>34427.699999999997</v>
      </c>
      <c r="X228" s="87"/>
      <c r="Y228" s="87"/>
      <c r="Z228" s="725">
        <f t="shared" si="77"/>
        <v>2500448.63</v>
      </c>
      <c r="AA228" s="87"/>
      <c r="AB228" s="86"/>
      <c r="AC228" s="87"/>
      <c r="AD228" s="18">
        <v>2023</v>
      </c>
      <c r="AE228" s="18">
        <v>2023</v>
      </c>
      <c r="AF228" s="25"/>
      <c r="AG228" s="91"/>
    </row>
    <row r="229" spans="1:33" s="26" customFormat="1" ht="24" customHeight="1">
      <c r="A229" s="18">
        <f t="shared" si="68"/>
        <v>209</v>
      </c>
      <c r="B229" s="20" t="s">
        <v>106</v>
      </c>
      <c r="C229" s="725">
        <f t="shared" si="23"/>
        <v>2500448.63</v>
      </c>
      <c r="D229" s="725"/>
      <c r="E229" s="21"/>
      <c r="F229" s="87"/>
      <c r="G229" s="727"/>
      <c r="H229" s="201"/>
      <c r="I229" s="201"/>
      <c r="J229" s="87">
        <v>1</v>
      </c>
      <c r="K229" s="7">
        <f t="shared" si="78"/>
        <v>2342020.9300000002</v>
      </c>
      <c r="L229" s="12"/>
      <c r="M229" s="22"/>
      <c r="N229" s="22"/>
      <c r="O229" s="204"/>
      <c r="P229" s="204"/>
      <c r="Q229" s="727"/>
      <c r="R229" s="725"/>
      <c r="S229" s="725"/>
      <c r="T229" s="739"/>
      <c r="U229" s="739"/>
      <c r="V229" s="3">
        <v>124000</v>
      </c>
      <c r="W229" s="600">
        <v>34427.699999999997</v>
      </c>
      <c r="X229" s="87"/>
      <c r="Y229" s="87"/>
      <c r="Z229" s="725">
        <f t="shared" si="77"/>
        <v>2500448.63</v>
      </c>
      <c r="AA229" s="87"/>
      <c r="AB229" s="86"/>
      <c r="AC229" s="87"/>
      <c r="AD229" s="18">
        <v>2023</v>
      </c>
      <c r="AE229" s="18">
        <v>2023</v>
      </c>
      <c r="AF229" s="25"/>
      <c r="AG229" s="91"/>
    </row>
    <row r="230" spans="1:33" s="26" customFormat="1" ht="24" customHeight="1">
      <c r="A230" s="18">
        <f t="shared" si="68"/>
        <v>210</v>
      </c>
      <c r="B230" s="20" t="s">
        <v>107</v>
      </c>
      <c r="C230" s="725">
        <f t="shared" si="23"/>
        <v>6174605.5800000001</v>
      </c>
      <c r="D230" s="725"/>
      <c r="E230" s="21"/>
      <c r="F230" s="87"/>
      <c r="G230" s="727"/>
      <c r="H230" s="201"/>
      <c r="I230" s="201"/>
      <c r="J230" s="87"/>
      <c r="K230" s="11"/>
      <c r="L230" s="12"/>
      <c r="M230" s="22"/>
      <c r="N230" s="204"/>
      <c r="O230" s="204"/>
      <c r="P230" s="204"/>
      <c r="Q230" s="727"/>
      <c r="R230" s="725">
        <f>ROUND(1614.1*3284.11,2)</f>
        <v>5300881.95</v>
      </c>
      <c r="S230" s="725"/>
      <c r="T230" s="739"/>
      <c r="U230" s="739"/>
      <c r="V230" s="3">
        <v>794210.4</v>
      </c>
      <c r="W230" s="600">
        <v>79513.23</v>
      </c>
      <c r="X230" s="87"/>
      <c r="Y230" s="87"/>
      <c r="Z230" s="725"/>
      <c r="AA230" s="87"/>
      <c r="AB230" s="86">
        <f t="shared" si="28"/>
        <v>6174605.5800000001</v>
      </c>
      <c r="AC230" s="87"/>
      <c r="AD230" s="18">
        <v>2023</v>
      </c>
      <c r="AE230" s="18">
        <v>2023</v>
      </c>
      <c r="AF230" s="25"/>
      <c r="AG230" s="91"/>
    </row>
    <row r="231" spans="1:33" s="26" customFormat="1" ht="24" customHeight="1">
      <c r="A231" s="18">
        <f t="shared" si="68"/>
        <v>211</v>
      </c>
      <c r="B231" s="77" t="s">
        <v>445</v>
      </c>
      <c r="C231" s="724">
        <f t="shared" ref="C231:C234" si="79">SUM(D231:X231)-(E231+J231+N231)</f>
        <v>6318627.4500000002</v>
      </c>
      <c r="D231" s="600"/>
      <c r="E231" s="80"/>
      <c r="F231" s="600"/>
      <c r="G231" s="600"/>
      <c r="H231" s="600"/>
      <c r="I231" s="600"/>
      <c r="J231" s="724"/>
      <c r="K231" s="78"/>
      <c r="L231" s="78"/>
      <c r="M231" s="78"/>
      <c r="N231" s="878">
        <v>2</v>
      </c>
      <c r="O231" s="600">
        <f>3037801.66*N231</f>
        <v>6075603.3200000003</v>
      </c>
      <c r="P231" s="600"/>
      <c r="Q231" s="600"/>
      <c r="R231" s="600"/>
      <c r="S231" s="600"/>
      <c r="T231" s="741"/>
      <c r="U231" s="741"/>
      <c r="V231" s="600">
        <f>75945.04*N231</f>
        <v>151890.07999999999</v>
      </c>
      <c r="W231" s="600">
        <f>O231*1.5/100</f>
        <v>91134.05</v>
      </c>
      <c r="X231" s="600"/>
      <c r="Y231" s="743"/>
      <c r="Z231" s="743"/>
      <c r="AA231" s="743"/>
      <c r="AB231" s="724">
        <f>SUM(O231+V231+W231)</f>
        <v>6318627.4500000002</v>
      </c>
      <c r="AC231" s="87"/>
      <c r="AD231" s="80">
        <v>2023</v>
      </c>
      <c r="AE231" s="80">
        <v>2024</v>
      </c>
      <c r="AF231" s="25"/>
      <c r="AG231" s="91"/>
    </row>
    <row r="232" spans="1:33" s="26" customFormat="1" ht="24" customHeight="1">
      <c r="A232" s="18">
        <f t="shared" si="68"/>
        <v>212</v>
      </c>
      <c r="B232" s="77" t="s">
        <v>446</v>
      </c>
      <c r="C232" s="724">
        <f t="shared" si="79"/>
        <v>15796568.619999999</v>
      </c>
      <c r="D232" s="600"/>
      <c r="E232" s="80"/>
      <c r="F232" s="600"/>
      <c r="G232" s="600"/>
      <c r="H232" s="600"/>
      <c r="I232" s="600"/>
      <c r="J232" s="724"/>
      <c r="K232" s="78"/>
      <c r="L232" s="78"/>
      <c r="M232" s="78"/>
      <c r="N232" s="878">
        <v>5</v>
      </c>
      <c r="O232" s="600">
        <f>3037801.66*N232</f>
        <v>15189008.300000001</v>
      </c>
      <c r="P232" s="600"/>
      <c r="Q232" s="600"/>
      <c r="R232" s="600"/>
      <c r="S232" s="600"/>
      <c r="T232" s="741"/>
      <c r="U232" s="741"/>
      <c r="V232" s="600">
        <f>75945.04*N232</f>
        <v>379725.2</v>
      </c>
      <c r="W232" s="600">
        <f>O232*1.5/100</f>
        <v>227835.12</v>
      </c>
      <c r="X232" s="600"/>
      <c r="Y232" s="743"/>
      <c r="Z232" s="743"/>
      <c r="AA232" s="743"/>
      <c r="AB232" s="724">
        <f>SUM(O232+V232+W232)</f>
        <v>15796568.619999999</v>
      </c>
      <c r="AC232" s="87"/>
      <c r="AD232" s="80">
        <v>2023</v>
      </c>
      <c r="AE232" s="80">
        <v>2024</v>
      </c>
      <c r="AF232" s="25"/>
      <c r="AG232" s="91"/>
    </row>
    <row r="233" spans="1:33" s="26" customFormat="1" ht="24" customHeight="1">
      <c r="A233" s="18">
        <f t="shared" si="68"/>
        <v>213</v>
      </c>
      <c r="B233" s="77" t="s">
        <v>447</v>
      </c>
      <c r="C233" s="724">
        <f t="shared" si="79"/>
        <v>2974318.29</v>
      </c>
      <c r="D233" s="600"/>
      <c r="E233" s="80"/>
      <c r="F233" s="600"/>
      <c r="G233" s="600"/>
      <c r="H233" s="600"/>
      <c r="I233" s="600"/>
      <c r="J233" s="724"/>
      <c r="K233" s="78"/>
      <c r="L233" s="78"/>
      <c r="M233" s="78"/>
      <c r="N233" s="878">
        <v>1</v>
      </c>
      <c r="O233" s="600">
        <v>2855540.15</v>
      </c>
      <c r="P233" s="600"/>
      <c r="Q233" s="600"/>
      <c r="R233" s="600"/>
      <c r="S233" s="600"/>
      <c r="T233" s="741"/>
      <c r="U233" s="741"/>
      <c r="V233" s="600">
        <v>75945.039999999994</v>
      </c>
      <c r="W233" s="600">
        <v>42833.1</v>
      </c>
      <c r="X233" s="600"/>
      <c r="Y233" s="743"/>
      <c r="Z233" s="743"/>
      <c r="AA233" s="743"/>
      <c r="AB233" s="724">
        <f>O233+V233+W233</f>
        <v>2974318.29</v>
      </c>
      <c r="AC233" s="87"/>
      <c r="AD233" s="80">
        <v>2023</v>
      </c>
      <c r="AE233" s="80">
        <v>2024</v>
      </c>
      <c r="AF233" s="25"/>
      <c r="AG233" s="91"/>
    </row>
    <row r="234" spans="1:33" s="26" customFormat="1" ht="24" customHeight="1">
      <c r="A234" s="18">
        <f t="shared" si="68"/>
        <v>214</v>
      </c>
      <c r="B234" s="77" t="s">
        <v>1052</v>
      </c>
      <c r="C234" s="724">
        <f t="shared" si="79"/>
        <v>23780342.739999998</v>
      </c>
      <c r="D234" s="600">
        <v>1339676.47</v>
      </c>
      <c r="E234" s="80"/>
      <c r="F234" s="600"/>
      <c r="G234" s="600">
        <v>1354438.62</v>
      </c>
      <c r="H234" s="600">
        <v>2440864.73</v>
      </c>
      <c r="I234" s="600">
        <v>1979263.65</v>
      </c>
      <c r="J234" s="724"/>
      <c r="K234" s="78"/>
      <c r="L234" s="78">
        <v>1399565.38</v>
      </c>
      <c r="M234" s="78"/>
      <c r="N234" s="878"/>
      <c r="O234" s="600"/>
      <c r="P234" s="600"/>
      <c r="Q234" s="600">
        <v>4438297.18</v>
      </c>
      <c r="R234" s="600">
        <v>6013577.5599999996</v>
      </c>
      <c r="S234" s="600">
        <v>2578629.65</v>
      </c>
      <c r="T234" s="741"/>
      <c r="U234" s="741"/>
      <c r="V234" s="600">
        <v>1912864.8</v>
      </c>
      <c r="W234" s="600">
        <v>323164.7</v>
      </c>
      <c r="X234" s="600"/>
      <c r="Y234" s="743"/>
      <c r="Z234" s="743"/>
      <c r="AA234" s="743"/>
      <c r="AB234" s="724">
        <f>C234-Z234</f>
        <v>23780342.739999998</v>
      </c>
      <c r="AC234" s="87"/>
      <c r="AD234" s="18">
        <v>2023</v>
      </c>
      <c r="AE234" s="18">
        <v>2023</v>
      </c>
      <c r="AF234" s="25"/>
      <c r="AG234" s="91"/>
    </row>
    <row r="235" spans="1:33" s="26" customFormat="1" ht="24" customHeight="1">
      <c r="A235" s="18">
        <f t="shared" si="68"/>
        <v>215</v>
      </c>
      <c r="B235" s="61" t="s">
        <v>214</v>
      </c>
      <c r="C235" s="725">
        <f t="shared" ref="C235:C236" si="80">D235+F235+G235+H235+I235+K235+L235+M235+O235+P235+Q235+R235+S235+W235+V235+X235</f>
        <v>8937098.1799999997</v>
      </c>
      <c r="D235" s="725"/>
      <c r="E235" s="21"/>
      <c r="F235" s="87"/>
      <c r="G235" s="727"/>
      <c r="H235" s="201"/>
      <c r="I235" s="201"/>
      <c r="J235" s="87"/>
      <c r="K235" s="7"/>
      <c r="L235" s="12"/>
      <c r="M235" s="22"/>
      <c r="N235" s="204"/>
      <c r="O235" s="204"/>
      <c r="P235" s="204"/>
      <c r="Q235" s="727"/>
      <c r="R235" s="725">
        <v>7981219.1299999999</v>
      </c>
      <c r="S235" s="725"/>
      <c r="T235" s="739"/>
      <c r="U235" s="739"/>
      <c r="V235" s="3">
        <v>836160.76</v>
      </c>
      <c r="W235" s="86">
        <f t="shared" ref="W235" si="81">ROUND((D235+F235+G235+H235+I235+L235+M235+O235+P235+Q235+R235+S235)*1.5%,2)</f>
        <v>119718.29</v>
      </c>
      <c r="X235" s="87"/>
      <c r="Y235" s="87"/>
      <c r="Z235" s="87"/>
      <c r="AA235" s="87"/>
      <c r="AB235" s="86">
        <f t="shared" ref="AB235:AB236" si="82">C235</f>
        <v>8937098.1799999997</v>
      </c>
      <c r="AC235" s="87"/>
      <c r="AD235" s="18">
        <v>2023</v>
      </c>
      <c r="AE235" s="18">
        <v>2023</v>
      </c>
      <c r="AF235" s="25"/>
      <c r="AG235" s="91"/>
    </row>
    <row r="236" spans="1:33" s="26" customFormat="1" ht="24" customHeight="1">
      <c r="A236" s="18">
        <f t="shared" si="68"/>
        <v>216</v>
      </c>
      <c r="B236" s="61" t="s">
        <v>215</v>
      </c>
      <c r="C236" s="725">
        <f t="shared" si="80"/>
        <v>5342225.09</v>
      </c>
      <c r="D236" s="725"/>
      <c r="E236" s="21"/>
      <c r="F236" s="87"/>
      <c r="G236" s="727"/>
      <c r="H236" s="201"/>
      <c r="I236" s="201"/>
      <c r="J236" s="87"/>
      <c r="K236" s="7"/>
      <c r="L236" s="12"/>
      <c r="M236" s="22"/>
      <c r="N236" s="204"/>
      <c r="O236" s="204"/>
      <c r="P236" s="204"/>
      <c r="Q236" s="727"/>
      <c r="R236" s="725">
        <v>4856541.87</v>
      </c>
      <c r="S236" s="725"/>
      <c r="T236" s="739"/>
      <c r="U236" s="739"/>
      <c r="V236" s="3">
        <v>412835.09</v>
      </c>
      <c r="W236" s="86">
        <v>72848.13</v>
      </c>
      <c r="X236" s="87"/>
      <c r="Y236" s="87"/>
      <c r="Z236" s="87"/>
      <c r="AA236" s="87"/>
      <c r="AB236" s="86">
        <f t="shared" si="82"/>
        <v>5342225.09</v>
      </c>
      <c r="AC236" s="87"/>
      <c r="AD236" s="18">
        <v>2023</v>
      </c>
      <c r="AE236" s="18">
        <v>2023</v>
      </c>
      <c r="AF236" s="25"/>
      <c r="AG236" s="91"/>
    </row>
    <row r="237" spans="1:33" s="26" customFormat="1" ht="24" customHeight="1">
      <c r="A237" s="18">
        <f t="shared" si="68"/>
        <v>217</v>
      </c>
      <c r="B237" s="77" t="s">
        <v>108</v>
      </c>
      <c r="C237" s="725">
        <f t="shared" si="23"/>
        <v>2500448.63</v>
      </c>
      <c r="D237" s="9"/>
      <c r="E237" s="21"/>
      <c r="F237" s="87"/>
      <c r="G237" s="727"/>
      <c r="H237" s="201"/>
      <c r="I237" s="201"/>
      <c r="J237" s="87">
        <v>1</v>
      </c>
      <c r="K237" s="7">
        <f t="shared" ref="K237:K245" si="83">(2501151.24-124000)/101.5*100</f>
        <v>2342020.9300000002</v>
      </c>
      <c r="L237" s="12"/>
      <c r="M237" s="22"/>
      <c r="N237" s="204"/>
      <c r="O237" s="204"/>
      <c r="P237" s="204"/>
      <c r="Q237" s="727"/>
      <c r="R237" s="725"/>
      <c r="S237" s="725"/>
      <c r="T237" s="739"/>
      <c r="U237" s="739"/>
      <c r="V237" s="3">
        <v>124000</v>
      </c>
      <c r="W237" s="600">
        <v>34427.699999999997</v>
      </c>
      <c r="X237" s="87"/>
      <c r="Y237" s="87"/>
      <c r="Z237" s="725">
        <f>K237+V237+W237</f>
        <v>2500448.63</v>
      </c>
      <c r="AA237" s="87"/>
      <c r="AB237" s="86"/>
      <c r="AC237" s="87"/>
      <c r="AD237" s="18">
        <v>2023</v>
      </c>
      <c r="AE237" s="18">
        <v>2023</v>
      </c>
      <c r="AF237" s="25"/>
      <c r="AG237" s="91"/>
    </row>
    <row r="238" spans="1:33" s="26" customFormat="1" ht="24" customHeight="1">
      <c r="A238" s="18">
        <f t="shared" si="68"/>
        <v>218</v>
      </c>
      <c r="B238" s="77" t="s">
        <v>109</v>
      </c>
      <c r="C238" s="725">
        <f t="shared" si="23"/>
        <v>2500448.63</v>
      </c>
      <c r="D238" s="9"/>
      <c r="E238" s="21"/>
      <c r="F238" s="87"/>
      <c r="G238" s="727"/>
      <c r="H238" s="201"/>
      <c r="I238" s="201"/>
      <c r="J238" s="87">
        <v>1</v>
      </c>
      <c r="K238" s="7">
        <f t="shared" si="83"/>
        <v>2342020.9300000002</v>
      </c>
      <c r="L238" s="12"/>
      <c r="M238" s="22"/>
      <c r="N238" s="204"/>
      <c r="O238" s="204"/>
      <c r="P238" s="204"/>
      <c r="Q238" s="727"/>
      <c r="R238" s="725"/>
      <c r="S238" s="725"/>
      <c r="T238" s="739"/>
      <c r="U238" s="739"/>
      <c r="V238" s="3">
        <v>124000</v>
      </c>
      <c r="W238" s="600">
        <v>34427.699999999997</v>
      </c>
      <c r="X238" s="87"/>
      <c r="Y238" s="87"/>
      <c r="Z238" s="725">
        <f>K238+V238+W238</f>
        <v>2500448.63</v>
      </c>
      <c r="AA238" s="87"/>
      <c r="AB238" s="86"/>
      <c r="AC238" s="87"/>
      <c r="AD238" s="18">
        <v>2023</v>
      </c>
      <c r="AE238" s="18">
        <v>2023</v>
      </c>
      <c r="AF238" s="25"/>
      <c r="AG238" s="91"/>
    </row>
    <row r="239" spans="1:33" s="26" customFormat="1" ht="24" customHeight="1">
      <c r="A239" s="18">
        <f t="shared" si="68"/>
        <v>219</v>
      </c>
      <c r="B239" s="77" t="s">
        <v>110</v>
      </c>
      <c r="C239" s="725">
        <f t="shared" si="23"/>
        <v>2500448.63</v>
      </c>
      <c r="D239" s="9"/>
      <c r="E239" s="21"/>
      <c r="F239" s="21"/>
      <c r="G239" s="12"/>
      <c r="H239" s="13"/>
      <c r="I239" s="13"/>
      <c r="J239" s="87">
        <v>1</v>
      </c>
      <c r="K239" s="7">
        <f t="shared" si="83"/>
        <v>2342020.9300000002</v>
      </c>
      <c r="L239" s="12"/>
      <c r="M239" s="22"/>
      <c r="N239" s="204"/>
      <c r="O239" s="204"/>
      <c r="P239" s="204"/>
      <c r="Q239" s="727"/>
      <c r="R239" s="725"/>
      <c r="S239" s="725"/>
      <c r="T239" s="739"/>
      <c r="U239" s="739"/>
      <c r="V239" s="3">
        <v>124000</v>
      </c>
      <c r="W239" s="600">
        <v>34427.699999999997</v>
      </c>
      <c r="X239" s="87"/>
      <c r="Y239" s="87"/>
      <c r="Z239" s="725">
        <f>K239+V239+W239</f>
        <v>2500448.63</v>
      </c>
      <c r="AA239" s="87"/>
      <c r="AB239" s="86"/>
      <c r="AC239" s="87"/>
      <c r="AD239" s="18">
        <v>2023</v>
      </c>
      <c r="AE239" s="18">
        <v>2023</v>
      </c>
      <c r="AF239" s="25"/>
      <c r="AG239" s="91"/>
    </row>
    <row r="240" spans="1:33" s="26" customFormat="1" ht="24" customHeight="1">
      <c r="A240" s="18">
        <f t="shared" si="68"/>
        <v>220</v>
      </c>
      <c r="B240" s="77" t="s">
        <v>111</v>
      </c>
      <c r="C240" s="725">
        <f t="shared" si="23"/>
        <v>2500448.63</v>
      </c>
      <c r="D240" s="9"/>
      <c r="E240" s="21"/>
      <c r="F240" s="21"/>
      <c r="G240" s="12"/>
      <c r="H240" s="13"/>
      <c r="I240" s="13"/>
      <c r="J240" s="87">
        <v>1</v>
      </c>
      <c r="K240" s="7">
        <f t="shared" si="83"/>
        <v>2342020.9300000002</v>
      </c>
      <c r="L240" s="12"/>
      <c r="M240" s="22"/>
      <c r="N240" s="204"/>
      <c r="O240" s="22"/>
      <c r="P240" s="22"/>
      <c r="Q240" s="12"/>
      <c r="R240" s="9"/>
      <c r="S240" s="9"/>
      <c r="T240" s="108"/>
      <c r="U240" s="739"/>
      <c r="V240" s="3">
        <v>124000</v>
      </c>
      <c r="W240" s="600">
        <v>34427.699999999997</v>
      </c>
      <c r="X240" s="87"/>
      <c r="Y240" s="87"/>
      <c r="Z240" s="725">
        <v>2500448.63</v>
      </c>
      <c r="AA240" s="87"/>
      <c r="AB240" s="86"/>
      <c r="AC240" s="87"/>
      <c r="AD240" s="18">
        <v>2023</v>
      </c>
      <c r="AE240" s="18">
        <v>2023</v>
      </c>
      <c r="AF240" s="25"/>
      <c r="AG240" s="91"/>
    </row>
    <row r="241" spans="1:33" s="26" customFormat="1" ht="24" customHeight="1">
      <c r="A241" s="18">
        <f t="shared" si="68"/>
        <v>221</v>
      </c>
      <c r="B241" s="77" t="s">
        <v>112</v>
      </c>
      <c r="C241" s="725">
        <f t="shared" si="23"/>
        <v>12157787.439999999</v>
      </c>
      <c r="D241" s="9"/>
      <c r="E241" s="21"/>
      <c r="F241" s="21"/>
      <c r="G241" s="12"/>
      <c r="H241" s="13"/>
      <c r="I241" s="13"/>
      <c r="J241" s="87">
        <v>1</v>
      </c>
      <c r="K241" s="7">
        <f t="shared" si="83"/>
        <v>2342020.9300000002</v>
      </c>
      <c r="L241" s="12"/>
      <c r="M241" s="22"/>
      <c r="N241" s="204"/>
      <c r="O241" s="22"/>
      <c r="P241" s="22"/>
      <c r="Q241" s="12"/>
      <c r="R241" s="725">
        <f>ROUND(2728.5*3170.13,2)</f>
        <v>8649699.7100000009</v>
      </c>
      <c r="S241" s="9"/>
      <c r="T241" s="108"/>
      <c r="U241" s="739"/>
      <c r="V241" s="3">
        <f>124000+877893.6</f>
        <v>1001893.6</v>
      </c>
      <c r="W241" s="600">
        <v>164173.20000000001</v>
      </c>
      <c r="X241" s="87"/>
      <c r="Y241" s="87"/>
      <c r="Z241" s="725">
        <v>2500448.63</v>
      </c>
      <c r="AA241" s="87"/>
      <c r="AB241" s="86">
        <f>C241-Z241</f>
        <v>9657338.8100000005</v>
      </c>
      <c r="AC241" s="87"/>
      <c r="AD241" s="18">
        <v>2023</v>
      </c>
      <c r="AE241" s="18">
        <v>2023</v>
      </c>
      <c r="AF241" s="25"/>
      <c r="AG241" s="91"/>
    </row>
    <row r="242" spans="1:33" s="26" customFormat="1" ht="24" customHeight="1">
      <c r="A242" s="18">
        <f t="shared" si="68"/>
        <v>222</v>
      </c>
      <c r="B242" s="77" t="s">
        <v>113</v>
      </c>
      <c r="C242" s="725">
        <f t="shared" si="23"/>
        <v>2500448.69</v>
      </c>
      <c r="D242" s="9"/>
      <c r="E242" s="21"/>
      <c r="F242" s="21"/>
      <c r="G242" s="12"/>
      <c r="H242" s="13"/>
      <c r="I242" s="13"/>
      <c r="J242" s="87">
        <v>1</v>
      </c>
      <c r="K242" s="7">
        <f t="shared" si="83"/>
        <v>2342020.9300000002</v>
      </c>
      <c r="L242" s="12"/>
      <c r="M242" s="22"/>
      <c r="N242" s="204"/>
      <c r="O242" s="22"/>
      <c r="P242" s="22"/>
      <c r="Q242" s="12"/>
      <c r="R242" s="9"/>
      <c r="S242" s="9"/>
      <c r="T242" s="108"/>
      <c r="U242" s="739"/>
      <c r="V242" s="3">
        <v>124000</v>
      </c>
      <c r="W242" s="600">
        <v>34427.760000000002</v>
      </c>
      <c r="X242" s="87"/>
      <c r="Y242" s="87"/>
      <c r="Z242" s="725">
        <v>2500448.69</v>
      </c>
      <c r="AA242" s="87"/>
      <c r="AB242" s="86"/>
      <c r="AC242" s="87"/>
      <c r="AD242" s="18">
        <v>2023</v>
      </c>
      <c r="AE242" s="18">
        <v>2023</v>
      </c>
      <c r="AF242" s="25"/>
      <c r="AG242" s="91"/>
    </row>
    <row r="243" spans="1:33" s="26" customFormat="1" ht="24" customHeight="1">
      <c r="A243" s="18">
        <f t="shared" si="68"/>
        <v>223</v>
      </c>
      <c r="B243" s="77" t="s">
        <v>114</v>
      </c>
      <c r="C243" s="725">
        <f t="shared" si="23"/>
        <v>2500448.73</v>
      </c>
      <c r="D243" s="9"/>
      <c r="E243" s="21"/>
      <c r="F243" s="21"/>
      <c r="G243" s="12"/>
      <c r="H243" s="13"/>
      <c r="I243" s="13"/>
      <c r="J243" s="87">
        <v>1</v>
      </c>
      <c r="K243" s="7">
        <f t="shared" si="83"/>
        <v>2342020.9300000002</v>
      </c>
      <c r="L243" s="12"/>
      <c r="M243" s="22"/>
      <c r="N243" s="204"/>
      <c r="O243" s="22"/>
      <c r="P243" s="22"/>
      <c r="Q243" s="12"/>
      <c r="R243" s="9"/>
      <c r="S243" s="9"/>
      <c r="T243" s="108"/>
      <c r="U243" s="739"/>
      <c r="V243" s="3">
        <v>124000</v>
      </c>
      <c r="W243" s="600">
        <v>34427.800000000003</v>
      </c>
      <c r="X243" s="87"/>
      <c r="Y243" s="87"/>
      <c r="Z243" s="725">
        <v>2500448.73</v>
      </c>
      <c r="AA243" s="87"/>
      <c r="AB243" s="86"/>
      <c r="AC243" s="87"/>
      <c r="AD243" s="18">
        <v>2023</v>
      </c>
      <c r="AE243" s="18">
        <v>2023</v>
      </c>
      <c r="AF243" s="25"/>
      <c r="AG243" s="91"/>
    </row>
    <row r="244" spans="1:33" s="26" customFormat="1" ht="24" customHeight="1">
      <c r="A244" s="18">
        <f t="shared" si="68"/>
        <v>224</v>
      </c>
      <c r="B244" s="77" t="s">
        <v>115</v>
      </c>
      <c r="C244" s="725">
        <f t="shared" si="23"/>
        <v>2500448.73</v>
      </c>
      <c r="D244" s="9"/>
      <c r="E244" s="21"/>
      <c r="F244" s="21"/>
      <c r="G244" s="12"/>
      <c r="H244" s="13"/>
      <c r="I244" s="13"/>
      <c r="J244" s="87">
        <v>1</v>
      </c>
      <c r="K244" s="7">
        <f t="shared" si="83"/>
        <v>2342020.9300000002</v>
      </c>
      <c r="L244" s="12"/>
      <c r="M244" s="22"/>
      <c r="N244" s="204"/>
      <c r="O244" s="22"/>
      <c r="P244" s="22"/>
      <c r="Q244" s="12"/>
      <c r="R244" s="9"/>
      <c r="S244" s="9"/>
      <c r="T244" s="108"/>
      <c r="U244" s="739"/>
      <c r="V244" s="3">
        <v>124000</v>
      </c>
      <c r="W244" s="600">
        <v>34427.800000000003</v>
      </c>
      <c r="X244" s="87"/>
      <c r="Y244" s="87"/>
      <c r="Z244" s="725">
        <v>2500448.73</v>
      </c>
      <c r="AA244" s="87"/>
      <c r="AB244" s="86"/>
      <c r="AC244" s="87"/>
      <c r="AD244" s="18">
        <v>2023</v>
      </c>
      <c r="AE244" s="18">
        <v>2023</v>
      </c>
      <c r="AF244" s="25"/>
      <c r="AG244" s="91"/>
    </row>
    <row r="245" spans="1:33" s="26" customFormat="1" ht="24" customHeight="1">
      <c r="A245" s="18">
        <f t="shared" si="68"/>
        <v>225</v>
      </c>
      <c r="B245" s="77" t="s">
        <v>347</v>
      </c>
      <c r="C245" s="725">
        <f t="shared" si="23"/>
        <v>2500448.63</v>
      </c>
      <c r="D245" s="9"/>
      <c r="E245" s="21"/>
      <c r="F245" s="21"/>
      <c r="G245" s="12"/>
      <c r="H245" s="13"/>
      <c r="I245" s="13"/>
      <c r="J245" s="87">
        <v>1</v>
      </c>
      <c r="K245" s="7">
        <f t="shared" si="83"/>
        <v>2342020.9300000002</v>
      </c>
      <c r="L245" s="12"/>
      <c r="M245" s="22"/>
      <c r="N245" s="204"/>
      <c r="O245" s="22"/>
      <c r="P245" s="22"/>
      <c r="Q245" s="12"/>
      <c r="R245" s="9"/>
      <c r="S245" s="9"/>
      <c r="T245" s="108"/>
      <c r="U245" s="739"/>
      <c r="V245" s="3">
        <v>124000</v>
      </c>
      <c r="W245" s="600">
        <v>34427.699999999997</v>
      </c>
      <c r="X245" s="87"/>
      <c r="Y245" s="87"/>
      <c r="Z245" s="725">
        <v>2500448.63</v>
      </c>
      <c r="AA245" s="87"/>
      <c r="AB245" s="86"/>
      <c r="AC245" s="87"/>
      <c r="AD245" s="18">
        <v>2023</v>
      </c>
      <c r="AE245" s="18">
        <v>2023</v>
      </c>
      <c r="AF245" s="25"/>
      <c r="AG245" s="91"/>
    </row>
    <row r="246" spans="1:33" s="26" customFormat="1" ht="24" customHeight="1">
      <c r="A246" s="18">
        <f t="shared" si="68"/>
        <v>226</v>
      </c>
      <c r="B246" s="77" t="s">
        <v>116</v>
      </c>
      <c r="C246" s="724">
        <f t="shared" ref="C246:C248" si="84">SUM(D246:X246)-(E246+J246+N246)</f>
        <v>8819076.0800000001</v>
      </c>
      <c r="D246" s="78"/>
      <c r="E246" s="80"/>
      <c r="F246" s="78"/>
      <c r="G246" s="78"/>
      <c r="H246" s="78"/>
      <c r="I246" s="78"/>
      <c r="J246" s="877">
        <v>1</v>
      </c>
      <c r="K246" s="600">
        <v>2342020.9300000002</v>
      </c>
      <c r="L246" s="78"/>
      <c r="M246" s="78"/>
      <c r="N246" s="878">
        <v>2</v>
      </c>
      <c r="O246" s="746">
        <f>3037801.66*N246</f>
        <v>6075603.3200000003</v>
      </c>
      <c r="P246" s="78"/>
      <c r="Q246" s="78"/>
      <c r="R246" s="78"/>
      <c r="S246" s="78"/>
      <c r="T246" s="135"/>
      <c r="U246" s="741"/>
      <c r="V246" s="600">
        <f>124000+151890.08</f>
        <v>275890.08</v>
      </c>
      <c r="W246" s="600">
        <v>125561.75</v>
      </c>
      <c r="X246" s="600"/>
      <c r="Y246" s="743"/>
      <c r="Z246" s="725">
        <v>2500448.63</v>
      </c>
      <c r="AA246" s="743"/>
      <c r="AB246" s="724">
        <f>SUM(O246+151890.08+91134.05)</f>
        <v>6318627.4500000002</v>
      </c>
      <c r="AC246" s="87"/>
      <c r="AD246" s="18">
        <v>2023</v>
      </c>
      <c r="AE246" s="18">
        <v>2024</v>
      </c>
      <c r="AF246" s="25"/>
      <c r="AG246" s="91"/>
    </row>
    <row r="247" spans="1:33" s="26" customFormat="1" ht="24" customHeight="1">
      <c r="A247" s="18">
        <f t="shared" si="68"/>
        <v>227</v>
      </c>
      <c r="B247" s="77" t="s">
        <v>448</v>
      </c>
      <c r="C247" s="724">
        <f t="shared" si="84"/>
        <v>3159313.72</v>
      </c>
      <c r="D247" s="78"/>
      <c r="E247" s="80"/>
      <c r="F247" s="78"/>
      <c r="G247" s="78"/>
      <c r="H247" s="78"/>
      <c r="I247" s="78"/>
      <c r="J247" s="84"/>
      <c r="K247" s="600"/>
      <c r="L247" s="78"/>
      <c r="M247" s="78"/>
      <c r="N247" s="878">
        <v>1</v>
      </c>
      <c r="O247" s="746">
        <f>3037801.66*N247</f>
        <v>3037801.66</v>
      </c>
      <c r="P247" s="78"/>
      <c r="Q247" s="78"/>
      <c r="R247" s="78"/>
      <c r="S247" s="78"/>
      <c r="T247" s="135"/>
      <c r="U247" s="741"/>
      <c r="V247" s="600">
        <f>75945.04*N247</f>
        <v>75945.039999999994</v>
      </c>
      <c r="W247" s="600">
        <f>O247*1.5/100</f>
        <v>45567.02</v>
      </c>
      <c r="X247" s="600"/>
      <c r="Y247" s="743"/>
      <c r="Z247" s="600"/>
      <c r="AA247" s="743"/>
      <c r="AB247" s="724">
        <f>SUM(O247+V247+W247)</f>
        <v>3159313.72</v>
      </c>
      <c r="AC247" s="87"/>
      <c r="AD247" s="80">
        <v>2023</v>
      </c>
      <c r="AE247" s="80">
        <v>2024</v>
      </c>
      <c r="AF247" s="25"/>
      <c r="AG247" s="91"/>
    </row>
    <row r="248" spans="1:33" s="26" customFormat="1" ht="24" customHeight="1">
      <c r="A248" s="18">
        <f t="shared" si="68"/>
        <v>228</v>
      </c>
      <c r="B248" s="77" t="s">
        <v>449</v>
      </c>
      <c r="C248" s="724">
        <f t="shared" si="84"/>
        <v>3159313.72</v>
      </c>
      <c r="D248" s="78"/>
      <c r="E248" s="80"/>
      <c r="F248" s="78"/>
      <c r="G248" s="78"/>
      <c r="H248" s="78"/>
      <c r="I248" s="78"/>
      <c r="J248" s="84"/>
      <c r="K248" s="78"/>
      <c r="L248" s="78"/>
      <c r="M248" s="78"/>
      <c r="N248" s="81">
        <v>1</v>
      </c>
      <c r="O248" s="746">
        <f>3037801.66*N248</f>
        <v>3037801.66</v>
      </c>
      <c r="P248" s="78"/>
      <c r="Q248" s="78"/>
      <c r="R248" s="78"/>
      <c r="S248" s="78"/>
      <c r="T248" s="135"/>
      <c r="U248" s="741"/>
      <c r="V248" s="600">
        <f t="shared" ref="V248" si="85">75945.04*N248</f>
        <v>75945.039999999994</v>
      </c>
      <c r="W248" s="600">
        <f t="shared" ref="W248" si="86">O248*1.5/100</f>
        <v>45567.02</v>
      </c>
      <c r="X248" s="600"/>
      <c r="Y248" s="743"/>
      <c r="Z248" s="600"/>
      <c r="AA248" s="743"/>
      <c r="AB248" s="724">
        <f t="shared" ref="AB248" si="87">SUM(O248+V248+W248)</f>
        <v>3159313.72</v>
      </c>
      <c r="AC248" s="87"/>
      <c r="AD248" s="80">
        <v>2023</v>
      </c>
      <c r="AE248" s="80">
        <v>2024</v>
      </c>
      <c r="AF248" s="25"/>
      <c r="AG248" s="91"/>
    </row>
    <row r="249" spans="1:33" s="95" customFormat="1" ht="24" customHeight="1">
      <c r="A249" s="883" t="s">
        <v>42</v>
      </c>
      <c r="B249" s="883"/>
      <c r="C249" s="16">
        <f>SUM(C57:C248)</f>
        <v>1825038443.76</v>
      </c>
      <c r="D249" s="16">
        <f t="shared" ref="D249:AC249" si="88">SUM(D57:D248)</f>
        <v>15976709.029999999</v>
      </c>
      <c r="E249" s="396">
        <f t="shared" si="88"/>
        <v>13</v>
      </c>
      <c r="F249" s="16">
        <f t="shared" si="88"/>
        <v>19942577.75</v>
      </c>
      <c r="G249" s="16">
        <f t="shared" si="88"/>
        <v>17755693.23</v>
      </c>
      <c r="H249" s="16">
        <f t="shared" si="88"/>
        <v>24272691.620000001</v>
      </c>
      <c r="I249" s="16">
        <f t="shared" si="88"/>
        <v>99279228.090000004</v>
      </c>
      <c r="J249" s="396">
        <f t="shared" si="88"/>
        <v>80</v>
      </c>
      <c r="K249" s="16">
        <f>SUM(K57:K248)</f>
        <v>187361674.40000001</v>
      </c>
      <c r="L249" s="16">
        <f t="shared" si="88"/>
        <v>21788515.300000001</v>
      </c>
      <c r="M249" s="16">
        <f t="shared" si="88"/>
        <v>0</v>
      </c>
      <c r="N249" s="396">
        <f t="shared" si="88"/>
        <v>107</v>
      </c>
      <c r="O249" s="16">
        <f t="shared" si="88"/>
        <v>332477257.33999997</v>
      </c>
      <c r="P249" s="16">
        <f t="shared" si="88"/>
        <v>497048631.94</v>
      </c>
      <c r="Q249" s="16">
        <f t="shared" si="88"/>
        <v>14357545.970000001</v>
      </c>
      <c r="R249" s="16">
        <f t="shared" si="88"/>
        <v>481818046.67000002</v>
      </c>
      <c r="S249" s="16">
        <f t="shared" si="88"/>
        <v>11163805.279999999</v>
      </c>
      <c r="T249" s="141"/>
      <c r="U249" s="141"/>
      <c r="V249" s="16">
        <f t="shared" si="88"/>
        <v>80882285.819999993</v>
      </c>
      <c r="W249" s="16">
        <f>SUM(W57:W248)</f>
        <v>19920857.690000001</v>
      </c>
      <c r="X249" s="16">
        <f t="shared" si="88"/>
        <v>992923.63</v>
      </c>
      <c r="Y249" s="16">
        <f t="shared" si="88"/>
        <v>0</v>
      </c>
      <c r="Z249" s="16">
        <f t="shared" si="88"/>
        <v>1003392131.67</v>
      </c>
      <c r="AA249" s="16">
        <f t="shared" si="88"/>
        <v>0</v>
      </c>
      <c r="AB249" s="16">
        <f t="shared" si="88"/>
        <v>821646312.09000003</v>
      </c>
      <c r="AC249" s="16">
        <f t="shared" si="88"/>
        <v>0</v>
      </c>
      <c r="AD249" s="798" t="s">
        <v>29</v>
      </c>
      <c r="AE249" s="798" t="s">
        <v>29</v>
      </c>
      <c r="AF249" s="94"/>
      <c r="AG249" s="145"/>
    </row>
    <row r="250" spans="1:33" ht="24" customHeight="1">
      <c r="A250" s="888" t="s">
        <v>360</v>
      </c>
      <c r="B250" s="888"/>
      <c r="C250" s="888"/>
      <c r="D250" s="888"/>
      <c r="E250" s="888"/>
      <c r="F250" s="888"/>
      <c r="G250" s="888"/>
      <c r="H250" s="888"/>
      <c r="I250" s="888"/>
      <c r="J250" s="888"/>
      <c r="K250" s="888"/>
      <c r="L250" s="888"/>
      <c r="M250" s="888"/>
      <c r="N250" s="888"/>
      <c r="O250" s="888"/>
      <c r="P250" s="888"/>
      <c r="Q250" s="888"/>
      <c r="R250" s="888"/>
      <c r="S250" s="888"/>
      <c r="T250" s="889"/>
      <c r="U250" s="889"/>
      <c r="V250" s="888"/>
      <c r="W250" s="888"/>
      <c r="X250" s="888"/>
      <c r="Y250" s="888"/>
      <c r="Z250" s="888"/>
      <c r="AA250" s="888"/>
      <c r="AB250" s="888"/>
      <c r="AC250" s="888"/>
      <c r="AD250" s="888"/>
      <c r="AE250" s="888"/>
      <c r="AF250" s="808"/>
      <c r="AG250" s="806"/>
    </row>
    <row r="251" spans="1:33" s="26" customFormat="1" ht="24" customHeight="1">
      <c r="A251" s="18">
        <f>A248+1</f>
        <v>229</v>
      </c>
      <c r="B251" s="20" t="s">
        <v>117</v>
      </c>
      <c r="C251" s="4">
        <f>D251+F251+G251+H251+I251+K251+L251+M251+O251+P251+Q251+R251+S251+W251+V251+X251</f>
        <v>10630811.800000001</v>
      </c>
      <c r="D251" s="9"/>
      <c r="E251" s="9"/>
      <c r="F251" s="9"/>
      <c r="G251" s="12"/>
      <c r="H251" s="13"/>
      <c r="I251" s="13"/>
      <c r="J251" s="21"/>
      <c r="K251" s="9"/>
      <c r="L251" s="12"/>
      <c r="M251" s="204"/>
      <c r="N251" s="204"/>
      <c r="O251" s="204"/>
      <c r="P251" s="725">
        <f>1279.4*7807.38</f>
        <v>9988761.9700000007</v>
      </c>
      <c r="Q251" s="725"/>
      <c r="R251" s="87"/>
      <c r="S251" s="201"/>
      <c r="T251" s="732"/>
      <c r="U251" s="732"/>
      <c r="V251" s="3">
        <v>492218.4</v>
      </c>
      <c r="W251" s="86">
        <f>P251*1.5%</f>
        <v>149831.43</v>
      </c>
      <c r="X251" s="87"/>
      <c r="Y251" s="87"/>
      <c r="Z251" s="87"/>
      <c r="AA251" s="87"/>
      <c r="AB251" s="86">
        <f>C251</f>
        <v>10630811.800000001</v>
      </c>
      <c r="AC251" s="87"/>
      <c r="AD251" s="18">
        <v>2023</v>
      </c>
      <c r="AE251" s="18">
        <v>2023</v>
      </c>
      <c r="AF251" s="25"/>
      <c r="AG251" s="91"/>
    </row>
    <row r="252" spans="1:33" s="26" customFormat="1" ht="24" customHeight="1">
      <c r="A252" s="18">
        <f>A251+1</f>
        <v>230</v>
      </c>
      <c r="B252" s="48" t="s">
        <v>118</v>
      </c>
      <c r="C252" s="4">
        <f t="shared" ref="C252:C258" si="89">D252+F252+G252+H252+I252+K252+L252+M252+O252+P252+Q252+R252+S252+W252+V252+X252</f>
        <v>5032002.0599999996</v>
      </c>
      <c r="D252" s="9"/>
      <c r="E252" s="21"/>
      <c r="F252" s="21"/>
      <c r="G252" s="12"/>
      <c r="H252" s="21"/>
      <c r="I252" s="13"/>
      <c r="J252" s="21"/>
      <c r="K252" s="9"/>
      <c r="L252" s="12"/>
      <c r="M252" s="204"/>
      <c r="N252" s="204"/>
      <c r="O252" s="204"/>
      <c r="P252" s="87"/>
      <c r="Q252" s="766">
        <f>1249.5*1954.25</f>
        <v>2441835.38</v>
      </c>
      <c r="R252" s="87"/>
      <c r="S252" s="87">
        <f>1249.5*1462.9</f>
        <v>1827893.55</v>
      </c>
      <c r="T252" s="124"/>
      <c r="U252" s="124"/>
      <c r="V252" s="3">
        <v>698227.19999999995</v>
      </c>
      <c r="W252" s="86">
        <f t="shared" ref="W252" si="90">ROUND((D252+F252+G252+H252+I252+K252+Q252+S252+L252)*1.5%,2)</f>
        <v>64045.93</v>
      </c>
      <c r="X252" s="87"/>
      <c r="Y252" s="87"/>
      <c r="Z252" s="87"/>
      <c r="AA252" s="87"/>
      <c r="AB252" s="86">
        <f t="shared" ref="AB252:AB255" si="91">C252</f>
        <v>5032002.0599999996</v>
      </c>
      <c r="AC252" s="87"/>
      <c r="AD252" s="18">
        <v>2023</v>
      </c>
      <c r="AE252" s="18">
        <v>2023</v>
      </c>
      <c r="AF252" s="25"/>
      <c r="AG252" s="91"/>
    </row>
    <row r="253" spans="1:33" s="26" customFormat="1" ht="24" customHeight="1">
      <c r="A253" s="18">
        <f t="shared" ref="A253:A258" si="92">A252+1</f>
        <v>231</v>
      </c>
      <c r="B253" s="48" t="s">
        <v>119</v>
      </c>
      <c r="C253" s="4">
        <f t="shared" si="89"/>
        <v>22421112.050000001</v>
      </c>
      <c r="D253" s="9"/>
      <c r="E253" s="21"/>
      <c r="F253" s="21"/>
      <c r="G253" s="12"/>
      <c r="H253" s="13"/>
      <c r="I253" s="13"/>
      <c r="J253" s="21"/>
      <c r="K253" s="9"/>
      <c r="L253" s="12"/>
      <c r="M253" s="204"/>
      <c r="N253" s="204"/>
      <c r="O253" s="204"/>
      <c r="P253" s="725">
        <f>2142.6*3727.29</f>
        <v>7986091.5499999998</v>
      </c>
      <c r="Q253" s="766">
        <f>2142.6*1954.25</f>
        <v>4187176.05</v>
      </c>
      <c r="R253" s="725">
        <f>2142.6*2647.87</f>
        <v>5673326.2599999998</v>
      </c>
      <c r="S253" s="725">
        <f>2142.6*1462.9</f>
        <v>3134409.54</v>
      </c>
      <c r="T253" s="739"/>
      <c r="U253" s="739"/>
      <c r="V253" s="3">
        <v>1125393.6000000001</v>
      </c>
      <c r="W253" s="86">
        <v>314715.05</v>
      </c>
      <c r="X253" s="87"/>
      <c r="Y253" s="87"/>
      <c r="Z253" s="87"/>
      <c r="AA253" s="87"/>
      <c r="AB253" s="86">
        <f t="shared" si="91"/>
        <v>22421112.050000001</v>
      </c>
      <c r="AC253" s="87"/>
      <c r="AD253" s="18">
        <v>2023</v>
      </c>
      <c r="AE253" s="18">
        <v>2023</v>
      </c>
      <c r="AF253" s="25"/>
      <c r="AG253" s="91"/>
    </row>
    <row r="254" spans="1:33" s="26" customFormat="1" ht="24" customHeight="1">
      <c r="A254" s="18">
        <f t="shared" si="92"/>
        <v>232</v>
      </c>
      <c r="B254" s="48" t="s">
        <v>120</v>
      </c>
      <c r="C254" s="4">
        <f t="shared" si="89"/>
        <v>10594207.039999999</v>
      </c>
      <c r="D254" s="9"/>
      <c r="E254" s="21"/>
      <c r="F254" s="21"/>
      <c r="G254" s="12"/>
      <c r="H254" s="13"/>
      <c r="I254" s="13"/>
      <c r="J254" s="21"/>
      <c r="K254" s="9"/>
      <c r="L254" s="12"/>
      <c r="M254" s="204"/>
      <c r="N254" s="204"/>
      <c r="O254" s="204"/>
      <c r="P254" s="725">
        <f>7807.38*1275.4</f>
        <v>9957532.4499999993</v>
      </c>
      <c r="Q254" s="725"/>
      <c r="R254" s="725"/>
      <c r="S254" s="725"/>
      <c r="T254" s="739"/>
      <c r="U254" s="739"/>
      <c r="V254" s="3">
        <v>487311.6</v>
      </c>
      <c r="W254" s="86">
        <f>ROUND((D254+F254+G254+H254+I254+K254+Q254+S254+L254+P254+R254)*1.5%,2)</f>
        <v>149362.99</v>
      </c>
      <c r="X254" s="87"/>
      <c r="Y254" s="87"/>
      <c r="Z254" s="87"/>
      <c r="AA254" s="87"/>
      <c r="AB254" s="86">
        <f t="shared" si="91"/>
        <v>10594207.039999999</v>
      </c>
      <c r="AC254" s="87"/>
      <c r="AD254" s="18">
        <v>2023</v>
      </c>
      <c r="AE254" s="18">
        <v>2023</v>
      </c>
      <c r="AF254" s="25"/>
      <c r="AG254" s="91"/>
    </row>
    <row r="255" spans="1:33" s="26" customFormat="1" ht="24" customHeight="1">
      <c r="A255" s="18">
        <f t="shared" si="92"/>
        <v>233</v>
      </c>
      <c r="B255" s="48" t="s">
        <v>121</v>
      </c>
      <c r="C255" s="4">
        <f t="shared" si="89"/>
        <v>16027151.369999999</v>
      </c>
      <c r="D255" s="21"/>
      <c r="E255" s="21"/>
      <c r="F255" s="21"/>
      <c r="G255" s="12"/>
      <c r="H255" s="21"/>
      <c r="I255" s="13"/>
      <c r="J255" s="21"/>
      <c r="K255" s="9"/>
      <c r="L255" s="12"/>
      <c r="M255" s="727"/>
      <c r="N255" s="727"/>
      <c r="O255" s="727"/>
      <c r="P255" s="727">
        <f>1955.1*7807.38</f>
        <v>15264208.640000001</v>
      </c>
      <c r="Q255" s="727"/>
      <c r="R255" s="87"/>
      <c r="S255" s="87"/>
      <c r="T255" s="124"/>
      <c r="U255" s="124"/>
      <c r="V255" s="3">
        <v>533979.6</v>
      </c>
      <c r="W255" s="86">
        <f>ROUND((D255+F255+G255+H255+I255+K255+Q255+S255+L255+P255+R255)*1.5%,2)</f>
        <v>228963.13</v>
      </c>
      <c r="X255" s="87"/>
      <c r="Y255" s="87"/>
      <c r="Z255" s="87"/>
      <c r="AA255" s="87"/>
      <c r="AB255" s="86">
        <f t="shared" si="91"/>
        <v>16027151.369999999</v>
      </c>
      <c r="AC255" s="87"/>
      <c r="AD255" s="18">
        <v>2023</v>
      </c>
      <c r="AE255" s="18">
        <v>2023</v>
      </c>
      <c r="AF255" s="25"/>
      <c r="AG255" s="91"/>
    </row>
    <row r="256" spans="1:33" s="26" customFormat="1" ht="24" customHeight="1">
      <c r="A256" s="18">
        <f t="shared" si="92"/>
        <v>234</v>
      </c>
      <c r="B256" s="118" t="s">
        <v>891</v>
      </c>
      <c r="C256" s="4">
        <f t="shared" si="89"/>
        <v>13107679.23</v>
      </c>
      <c r="D256" s="21"/>
      <c r="E256" s="21"/>
      <c r="F256" s="21"/>
      <c r="G256" s="12"/>
      <c r="H256" s="21"/>
      <c r="I256" s="13"/>
      <c r="J256" s="21"/>
      <c r="K256" s="9"/>
      <c r="L256" s="12"/>
      <c r="M256" s="727"/>
      <c r="N256" s="727"/>
      <c r="O256" s="727"/>
      <c r="P256" s="727">
        <v>12324696</v>
      </c>
      <c r="Q256" s="727"/>
      <c r="R256" s="87"/>
      <c r="S256" s="87"/>
      <c r="T256" s="124"/>
      <c r="U256" s="124"/>
      <c r="V256" s="3">
        <v>593827.19999999995</v>
      </c>
      <c r="W256" s="86">
        <v>189156.03</v>
      </c>
      <c r="X256" s="87"/>
      <c r="Y256" s="87"/>
      <c r="Z256" s="86">
        <f>C256</f>
        <v>13107679.23</v>
      </c>
      <c r="AA256" s="87"/>
      <c r="AB256" s="86"/>
      <c r="AC256" s="87"/>
      <c r="AD256" s="18">
        <v>2023</v>
      </c>
      <c r="AE256" s="18">
        <v>2023</v>
      </c>
      <c r="AF256" s="25"/>
      <c r="AG256" s="91"/>
    </row>
    <row r="257" spans="1:33" s="26" customFormat="1" ht="24" customHeight="1">
      <c r="A257" s="18">
        <f t="shared" si="92"/>
        <v>235</v>
      </c>
      <c r="B257" s="118" t="s">
        <v>892</v>
      </c>
      <c r="C257" s="4">
        <f t="shared" si="89"/>
        <v>12525172.060000001</v>
      </c>
      <c r="D257" s="21"/>
      <c r="E257" s="21"/>
      <c r="F257" s="21"/>
      <c r="G257" s="12"/>
      <c r="H257" s="21"/>
      <c r="I257" s="13"/>
      <c r="J257" s="21"/>
      <c r="K257" s="9"/>
      <c r="L257" s="12"/>
      <c r="M257" s="727"/>
      <c r="N257" s="727"/>
      <c r="O257" s="727"/>
      <c r="P257" s="727">
        <v>11742188.83</v>
      </c>
      <c r="Q257" s="727"/>
      <c r="R257" s="87"/>
      <c r="S257" s="87"/>
      <c r="T257" s="124"/>
      <c r="U257" s="124"/>
      <c r="V257" s="3">
        <v>593827.19999999995</v>
      </c>
      <c r="W257" s="86">
        <v>189156.03</v>
      </c>
      <c r="X257" s="87"/>
      <c r="Y257" s="87"/>
      <c r="Z257" s="86">
        <f t="shared" ref="Z257:Z258" si="93">C257</f>
        <v>12525172.060000001</v>
      </c>
      <c r="AA257" s="87"/>
      <c r="AB257" s="86"/>
      <c r="AC257" s="87"/>
      <c r="AD257" s="18">
        <v>2023</v>
      </c>
      <c r="AE257" s="18">
        <v>2023</v>
      </c>
      <c r="AF257" s="25"/>
      <c r="AG257" s="91"/>
    </row>
    <row r="258" spans="1:33" s="26" customFormat="1" ht="24" customHeight="1">
      <c r="A258" s="18">
        <f t="shared" si="92"/>
        <v>236</v>
      </c>
      <c r="B258" s="118" t="s">
        <v>893</v>
      </c>
      <c r="C258" s="4">
        <f t="shared" si="89"/>
        <v>12700431.029999999</v>
      </c>
      <c r="D258" s="21"/>
      <c r="E258" s="21"/>
      <c r="F258" s="21"/>
      <c r="G258" s="12"/>
      <c r="H258" s="21"/>
      <c r="I258" s="13"/>
      <c r="J258" s="21"/>
      <c r="K258" s="9"/>
      <c r="L258" s="12"/>
      <c r="M258" s="727"/>
      <c r="N258" s="727"/>
      <c r="O258" s="727"/>
      <c r="P258" s="727">
        <v>11917447.800000001</v>
      </c>
      <c r="Q258" s="727"/>
      <c r="R258" s="87"/>
      <c r="S258" s="87"/>
      <c r="T258" s="124"/>
      <c r="U258" s="124"/>
      <c r="V258" s="3">
        <v>593827.19999999995</v>
      </c>
      <c r="W258" s="86">
        <v>189156.03</v>
      </c>
      <c r="X258" s="87"/>
      <c r="Y258" s="87"/>
      <c r="Z258" s="86">
        <f t="shared" si="93"/>
        <v>12700431.029999999</v>
      </c>
      <c r="AA258" s="87"/>
      <c r="AB258" s="86"/>
      <c r="AC258" s="87"/>
      <c r="AD258" s="18">
        <v>2023</v>
      </c>
      <c r="AE258" s="18">
        <v>2023</v>
      </c>
      <c r="AF258" s="25"/>
      <c r="AG258" s="91"/>
    </row>
    <row r="259" spans="1:33" s="148" customFormat="1" ht="24" customHeight="1">
      <c r="A259" s="883" t="s">
        <v>42</v>
      </c>
      <c r="B259" s="883"/>
      <c r="C259" s="16">
        <f>SUM(C251:C258)</f>
        <v>103038566.64</v>
      </c>
      <c r="D259" s="6">
        <f t="shared" ref="D259" si="94">SUM(D251:D255)</f>
        <v>0</v>
      </c>
      <c r="E259" s="6">
        <f t="shared" ref="E259" si="95">SUM(E251:E255)</f>
        <v>0</v>
      </c>
      <c r="F259" s="6">
        <f t="shared" ref="F259" si="96">SUM(F251:F255)</f>
        <v>0</v>
      </c>
      <c r="G259" s="6">
        <f t="shared" ref="G259" si="97">SUM(G251:G255)</f>
        <v>0</v>
      </c>
      <c r="H259" s="6">
        <f t="shared" ref="H259" si="98">SUM(H251:H255)</f>
        <v>0</v>
      </c>
      <c r="I259" s="6">
        <f t="shared" ref="I259" si="99">SUM(I251:I255)</f>
        <v>0</v>
      </c>
      <c r="J259" s="6">
        <f t="shared" ref="J259" si="100">SUM(J251:J255)</f>
        <v>0</v>
      </c>
      <c r="K259" s="6">
        <f t="shared" ref="K259" si="101">SUM(K251:K255)</f>
        <v>0</v>
      </c>
      <c r="L259" s="6">
        <f t="shared" ref="L259" si="102">SUM(L251:L255)</f>
        <v>0</v>
      </c>
      <c r="M259" s="6">
        <f t="shared" ref="M259" si="103">SUM(M251:M255)</f>
        <v>0</v>
      </c>
      <c r="N259" s="6">
        <f t="shared" ref="N259" si="104">SUM(N251:N255)</f>
        <v>0</v>
      </c>
      <c r="O259" s="6">
        <f t="shared" ref="O259" si="105">SUM(O251:O255)</f>
        <v>0</v>
      </c>
      <c r="P259" s="16">
        <f>SUM(P251:P258)</f>
        <v>79180927.239999995</v>
      </c>
      <c r="Q259" s="16">
        <f t="shared" ref="Q259" si="106">SUM(Q251:Q255)</f>
        <v>6629011.4299999997</v>
      </c>
      <c r="R259" s="16">
        <f t="shared" ref="R259" si="107">SUM(R251:R255)</f>
        <v>5673326.2599999998</v>
      </c>
      <c r="S259" s="16">
        <f t="shared" ref="S259" si="108">SUM(S251:S255)</f>
        <v>4962303.09</v>
      </c>
      <c r="T259" s="141"/>
      <c r="U259" s="141"/>
      <c r="V259" s="16">
        <f>SUM(V251:V258)</f>
        <v>5118612</v>
      </c>
      <c r="W259" s="16">
        <f>SUM(W251:W258)</f>
        <v>1474386.62</v>
      </c>
      <c r="X259" s="16">
        <f t="shared" ref="X259:AA259" si="109">SUM(X251:X258)</f>
        <v>0</v>
      </c>
      <c r="Y259" s="16">
        <f t="shared" si="109"/>
        <v>0</v>
      </c>
      <c r="Z259" s="16">
        <f t="shared" si="109"/>
        <v>38333282.32</v>
      </c>
      <c r="AA259" s="16">
        <f t="shared" si="109"/>
        <v>0</v>
      </c>
      <c r="AB259" s="16">
        <f>SUM(AB251:AB258)</f>
        <v>64705284.32</v>
      </c>
      <c r="AC259" s="798"/>
      <c r="AD259" s="798" t="s">
        <v>29</v>
      </c>
      <c r="AE259" s="798" t="s">
        <v>29</v>
      </c>
      <c r="AF259" s="146"/>
      <c r="AG259" s="147"/>
    </row>
    <row r="260" spans="1:33" ht="24" customHeight="1">
      <c r="A260" s="888" t="s">
        <v>361</v>
      </c>
      <c r="B260" s="888"/>
      <c r="C260" s="888"/>
      <c r="D260" s="888"/>
      <c r="E260" s="888"/>
      <c r="F260" s="888"/>
      <c r="G260" s="888"/>
      <c r="H260" s="888"/>
      <c r="I260" s="888"/>
      <c r="J260" s="888"/>
      <c r="K260" s="888"/>
      <c r="L260" s="888"/>
      <c r="M260" s="888"/>
      <c r="N260" s="888"/>
      <c r="O260" s="888"/>
      <c r="P260" s="888"/>
      <c r="Q260" s="888"/>
      <c r="R260" s="888"/>
      <c r="S260" s="888"/>
      <c r="T260" s="889"/>
      <c r="U260" s="889"/>
      <c r="V260" s="888"/>
      <c r="W260" s="888"/>
      <c r="X260" s="888"/>
      <c r="Y260" s="888"/>
      <c r="Z260" s="888"/>
      <c r="AA260" s="888"/>
      <c r="AB260" s="888"/>
      <c r="AC260" s="888"/>
      <c r="AD260" s="888"/>
      <c r="AE260" s="888"/>
      <c r="AF260" s="808"/>
      <c r="AG260" s="806"/>
    </row>
    <row r="261" spans="1:33" s="26" customFormat="1" ht="24" customHeight="1">
      <c r="A261" s="18">
        <f>A258+1</f>
        <v>237</v>
      </c>
      <c r="B261" s="50" t="s">
        <v>1225</v>
      </c>
      <c r="C261" s="4">
        <f>D261+F261+G261+H261+I261+K261+L261+M261+O261+P261+Q261+R261+S261+W261+V261+X261</f>
        <v>6075603.3200000003</v>
      </c>
      <c r="D261" s="9"/>
      <c r="E261" s="9"/>
      <c r="F261" s="9"/>
      <c r="G261" s="12"/>
      <c r="H261" s="13"/>
      <c r="I261" s="13"/>
      <c r="J261" s="21"/>
      <c r="K261" s="9"/>
      <c r="L261" s="12"/>
      <c r="M261" s="22"/>
      <c r="N261" s="204">
        <v>2</v>
      </c>
      <c r="O261" s="727">
        <f>2*2918085.34</f>
        <v>5836170.6799999997</v>
      </c>
      <c r="P261" s="725"/>
      <c r="Q261" s="725"/>
      <c r="R261" s="87"/>
      <c r="S261" s="201"/>
      <c r="T261" s="732"/>
      <c r="U261" s="732"/>
      <c r="V261" s="3">
        <v>151890.07999999999</v>
      </c>
      <c r="W261" s="86">
        <f>O261*1.5%</f>
        <v>87542.56</v>
      </c>
      <c r="X261" s="87"/>
      <c r="Y261" s="87"/>
      <c r="Z261" s="87"/>
      <c r="AA261" s="87"/>
      <c r="AB261" s="86">
        <f>C261</f>
        <v>6075603.3200000003</v>
      </c>
      <c r="AC261" s="18"/>
      <c r="AD261" s="18">
        <v>2023</v>
      </c>
      <c r="AE261" s="18">
        <v>2023</v>
      </c>
      <c r="AF261" s="25"/>
      <c r="AG261" s="91"/>
    </row>
    <row r="262" spans="1:33" s="26" customFormat="1" ht="24" customHeight="1">
      <c r="A262" s="18">
        <f>A261+1</f>
        <v>238</v>
      </c>
      <c r="B262" s="20" t="s">
        <v>122</v>
      </c>
      <c r="C262" s="4">
        <f t="shared" ref="C262:C265" si="110">D262+F262+G262+H262+I262+K262+L262+M262+O262+P262+Q262+R262+S262+W262+V262+X262</f>
        <v>4417281.5999999996</v>
      </c>
      <c r="D262" s="9"/>
      <c r="E262" s="21"/>
      <c r="F262" s="21"/>
      <c r="G262" s="12"/>
      <c r="H262" s="21"/>
      <c r="I262" s="13"/>
      <c r="J262" s="21"/>
      <c r="K262" s="9"/>
      <c r="L262" s="12"/>
      <c r="M262" s="22"/>
      <c r="N262" s="204"/>
      <c r="O262" s="204"/>
      <c r="P262" s="725">
        <f>ROUND(464*8645.31,2)</f>
        <v>4011423.84</v>
      </c>
      <c r="Q262" s="766"/>
      <c r="R262" s="87"/>
      <c r="S262" s="87"/>
      <c r="T262" s="124"/>
      <c r="U262" s="124"/>
      <c r="V262" s="3">
        <v>345686.4</v>
      </c>
      <c r="W262" s="86">
        <f>ROUND((D262+F262+G262+H262+I262+K262+Q262+S262+L262+P262)*1.5%,2)</f>
        <v>60171.360000000001</v>
      </c>
      <c r="X262" s="87"/>
      <c r="Y262" s="87"/>
      <c r="Z262" s="87"/>
      <c r="AA262" s="87"/>
      <c r="AB262" s="86">
        <f t="shared" ref="AB262:AB265" si="111">C262</f>
        <v>4417281.5999999996</v>
      </c>
      <c r="AC262" s="18"/>
      <c r="AD262" s="18">
        <v>2023</v>
      </c>
      <c r="AE262" s="18">
        <v>2023</v>
      </c>
      <c r="AF262" s="25"/>
      <c r="AG262" s="91"/>
    </row>
    <row r="263" spans="1:33" s="26" customFormat="1" ht="24" customHeight="1">
      <c r="A263" s="18">
        <f t="shared" ref="A263:A265" si="112">A262+1</f>
        <v>239</v>
      </c>
      <c r="B263" s="20" t="s">
        <v>1226</v>
      </c>
      <c r="C263" s="4">
        <f t="shared" si="110"/>
        <v>13668887.6</v>
      </c>
      <c r="D263" s="9"/>
      <c r="E263" s="21"/>
      <c r="F263" s="21"/>
      <c r="G263" s="12"/>
      <c r="H263" s="13"/>
      <c r="I263" s="13"/>
      <c r="J263" s="21"/>
      <c r="K263" s="9"/>
      <c r="L263" s="12"/>
      <c r="M263" s="22"/>
      <c r="N263" s="22"/>
      <c r="O263" s="204"/>
      <c r="P263" s="725">
        <f>ROUND(3668.97*3517.3,2)</f>
        <v>12904868.18</v>
      </c>
      <c r="Q263" s="766"/>
      <c r="R263" s="725"/>
      <c r="S263" s="725"/>
      <c r="T263" s="739"/>
      <c r="U263" s="739"/>
      <c r="V263" s="3">
        <v>570446.4</v>
      </c>
      <c r="W263" s="86">
        <f>ROUND((D263+F263+G263+H263+I263+K263+Q263+S263+L263+P263)*1.5%,2)</f>
        <v>193573.02</v>
      </c>
      <c r="X263" s="87"/>
      <c r="Y263" s="87"/>
      <c r="Z263" s="87"/>
      <c r="AA263" s="87"/>
      <c r="AB263" s="86">
        <f t="shared" si="111"/>
        <v>13668887.6</v>
      </c>
      <c r="AC263" s="18"/>
      <c r="AD263" s="18">
        <v>2023</v>
      </c>
      <c r="AE263" s="18">
        <v>2023</v>
      </c>
      <c r="AF263" s="25"/>
      <c r="AG263" s="91"/>
    </row>
    <row r="264" spans="1:33" s="26" customFormat="1" ht="24" customHeight="1">
      <c r="A264" s="18">
        <f t="shared" si="112"/>
        <v>240</v>
      </c>
      <c r="B264" s="20" t="s">
        <v>123</v>
      </c>
      <c r="C264" s="4">
        <f t="shared" si="110"/>
        <v>2775920.87</v>
      </c>
      <c r="D264" s="9"/>
      <c r="E264" s="21"/>
      <c r="F264" s="21"/>
      <c r="G264" s="12"/>
      <c r="H264" s="13"/>
      <c r="I264" s="13"/>
      <c r="J264" s="21"/>
      <c r="K264" s="9"/>
      <c r="L264" s="12"/>
      <c r="M264" s="22"/>
      <c r="N264" s="22"/>
      <c r="O264" s="204"/>
      <c r="P264" s="725"/>
      <c r="Q264" s="725"/>
      <c r="R264" s="725">
        <f>ROUND(379.5*6480.9,2)</f>
        <v>2459501.5499999998</v>
      </c>
      <c r="S264" s="725"/>
      <c r="T264" s="739"/>
      <c r="U264" s="739"/>
      <c r="V264" s="3">
        <v>279526.8</v>
      </c>
      <c r="W264" s="86">
        <f>ROUND((D264+F264+G264+H264+I264+K264+Q264+S264+L264+P264+R264)*1.5%,2)</f>
        <v>36892.519999999997</v>
      </c>
      <c r="X264" s="87"/>
      <c r="Y264" s="87"/>
      <c r="Z264" s="87"/>
      <c r="AA264" s="87"/>
      <c r="AB264" s="86">
        <f t="shared" si="111"/>
        <v>2775920.87</v>
      </c>
      <c r="AC264" s="18"/>
      <c r="AD264" s="18">
        <v>2023</v>
      </c>
      <c r="AE264" s="18">
        <v>2023</v>
      </c>
      <c r="AF264" s="25"/>
      <c r="AG264" s="91"/>
    </row>
    <row r="265" spans="1:33" s="26" customFormat="1" ht="24" customHeight="1">
      <c r="A265" s="18">
        <f t="shared" si="112"/>
        <v>241</v>
      </c>
      <c r="B265" s="20" t="s">
        <v>124</v>
      </c>
      <c r="C265" s="4">
        <f t="shared" si="110"/>
        <v>2291079.67</v>
      </c>
      <c r="D265" s="21"/>
      <c r="E265" s="21"/>
      <c r="F265" s="21"/>
      <c r="G265" s="12"/>
      <c r="H265" s="21"/>
      <c r="I265" s="13"/>
      <c r="J265" s="21"/>
      <c r="K265" s="9"/>
      <c r="L265" s="12"/>
      <c r="M265" s="12"/>
      <c r="N265" s="12"/>
      <c r="O265" s="727"/>
      <c r="P265" s="727">
        <f>ROUND(290.3*6720.93,2)</f>
        <v>1951085.98</v>
      </c>
      <c r="Q265" s="727"/>
      <c r="R265" s="87"/>
      <c r="S265" s="87"/>
      <c r="T265" s="124"/>
      <c r="U265" s="124"/>
      <c r="V265" s="3">
        <v>310727.40000000002</v>
      </c>
      <c r="W265" s="86">
        <f>ROUND((D265+F265+G265+H265+I265+K265+Q265+S265+L265+P265+R265)*1.5%,2)</f>
        <v>29266.29</v>
      </c>
      <c r="X265" s="87"/>
      <c r="Y265" s="87"/>
      <c r="Z265" s="87"/>
      <c r="AA265" s="87"/>
      <c r="AB265" s="86">
        <f t="shared" si="111"/>
        <v>2291079.67</v>
      </c>
      <c r="AC265" s="18"/>
      <c r="AD265" s="18">
        <v>2023</v>
      </c>
      <c r="AE265" s="18">
        <v>2023</v>
      </c>
      <c r="AF265" s="25"/>
      <c r="AG265" s="91"/>
    </row>
    <row r="266" spans="1:33" s="148" customFormat="1" ht="24" customHeight="1">
      <c r="A266" s="883" t="s">
        <v>42</v>
      </c>
      <c r="B266" s="883"/>
      <c r="C266" s="16">
        <f>SUM(C261:C265)</f>
        <v>29228773.059999999</v>
      </c>
      <c r="D266" s="16">
        <f t="shared" ref="D266:W266" si="113">SUM(D261:D265)</f>
        <v>0</v>
      </c>
      <c r="E266" s="16">
        <f t="shared" si="113"/>
        <v>0</v>
      </c>
      <c r="F266" s="16">
        <f t="shared" si="113"/>
        <v>0</v>
      </c>
      <c r="G266" s="16">
        <f t="shared" si="113"/>
        <v>0</v>
      </c>
      <c r="H266" s="16">
        <f t="shared" si="113"/>
        <v>0</v>
      </c>
      <c r="I266" s="16">
        <f t="shared" si="113"/>
        <v>0</v>
      </c>
      <c r="J266" s="16">
        <f t="shared" si="113"/>
        <v>0</v>
      </c>
      <c r="K266" s="16">
        <f t="shared" si="113"/>
        <v>0</v>
      </c>
      <c r="L266" s="16">
        <f t="shared" si="113"/>
        <v>0</v>
      </c>
      <c r="M266" s="16">
        <f t="shared" si="113"/>
        <v>0</v>
      </c>
      <c r="N266" s="396">
        <f t="shared" si="113"/>
        <v>2</v>
      </c>
      <c r="O266" s="16">
        <f t="shared" si="113"/>
        <v>5836170.6799999997</v>
      </c>
      <c r="P266" s="16">
        <f t="shared" si="113"/>
        <v>18867378</v>
      </c>
      <c r="Q266" s="16">
        <f t="shared" si="113"/>
        <v>0</v>
      </c>
      <c r="R266" s="16">
        <f t="shared" si="113"/>
        <v>2459501.5499999998</v>
      </c>
      <c r="S266" s="16">
        <f t="shared" si="113"/>
        <v>0</v>
      </c>
      <c r="T266" s="141"/>
      <c r="U266" s="141"/>
      <c r="V266" s="16">
        <f t="shared" si="113"/>
        <v>1658277.08</v>
      </c>
      <c r="W266" s="16">
        <f t="shared" si="113"/>
        <v>407445.75</v>
      </c>
      <c r="X266" s="16">
        <f t="shared" ref="X266" si="114">SUM(X261:X265)</f>
        <v>0</v>
      </c>
      <c r="Y266" s="16">
        <f t="shared" ref="Y266" si="115">SUM(Y261:Y265)</f>
        <v>0</v>
      </c>
      <c r="Z266" s="16">
        <f t="shared" ref="Z266" si="116">SUM(Z261:Z265)</f>
        <v>0</v>
      </c>
      <c r="AA266" s="16">
        <f t="shared" ref="AA266" si="117">SUM(AA261:AA265)</f>
        <v>0</v>
      </c>
      <c r="AB266" s="16">
        <f t="shared" ref="AB266" si="118">SUM(AB261:AB265)</f>
        <v>29228773.059999999</v>
      </c>
      <c r="AC266" s="798"/>
      <c r="AD266" s="798" t="s">
        <v>29</v>
      </c>
      <c r="AE266" s="798" t="s">
        <v>29</v>
      </c>
      <c r="AF266" s="146"/>
      <c r="AG266" s="147"/>
    </row>
    <row r="267" spans="1:33" ht="24" customHeight="1">
      <c r="A267" s="888" t="s">
        <v>364</v>
      </c>
      <c r="B267" s="888"/>
      <c r="C267" s="888"/>
      <c r="D267" s="888"/>
      <c r="E267" s="888"/>
      <c r="F267" s="888"/>
      <c r="G267" s="888"/>
      <c r="H267" s="888"/>
      <c r="I267" s="888"/>
      <c r="J267" s="888"/>
      <c r="K267" s="888"/>
      <c r="L267" s="888"/>
      <c r="M267" s="888"/>
      <c r="N267" s="888"/>
      <c r="O267" s="888"/>
      <c r="P267" s="888"/>
      <c r="Q267" s="888"/>
      <c r="R267" s="888"/>
      <c r="S267" s="888"/>
      <c r="T267" s="889"/>
      <c r="U267" s="889"/>
      <c r="V267" s="888"/>
      <c r="W267" s="888"/>
      <c r="X267" s="888"/>
      <c r="Y267" s="888"/>
      <c r="Z267" s="888"/>
      <c r="AA267" s="888"/>
      <c r="AB267" s="888"/>
      <c r="AC267" s="888"/>
      <c r="AD267" s="888"/>
      <c r="AE267" s="888"/>
      <c r="AF267" s="808"/>
      <c r="AG267" s="806"/>
    </row>
    <row r="268" spans="1:33" s="26" customFormat="1" ht="24" customHeight="1">
      <c r="A268" s="18">
        <f>A265+1</f>
        <v>242</v>
      </c>
      <c r="B268" s="35" t="s">
        <v>125</v>
      </c>
      <c r="C268" s="4">
        <f>D268+F268+G268+H268+I268+K268+L268+M268+O268+P268+Q268+R268+S268+W268+V268+X268</f>
        <v>14163513.43</v>
      </c>
      <c r="D268" s="725"/>
      <c r="E268" s="725"/>
      <c r="F268" s="725"/>
      <c r="G268" s="727"/>
      <c r="H268" s="201"/>
      <c r="I268" s="201"/>
      <c r="J268" s="87"/>
      <c r="K268" s="725"/>
      <c r="L268" s="727"/>
      <c r="M268" s="204"/>
      <c r="N268" s="22"/>
      <c r="O268" s="204"/>
      <c r="P268" s="3">
        <f>ROUND(3758.5*3517.3,2)</f>
        <v>13219772.050000001</v>
      </c>
      <c r="Q268" s="725"/>
      <c r="R268" s="87"/>
      <c r="S268" s="201"/>
      <c r="T268" s="732"/>
      <c r="U268" s="732"/>
      <c r="V268" s="3">
        <v>745444.8</v>
      </c>
      <c r="W268" s="86">
        <f>P268*1.5%</f>
        <v>198296.58</v>
      </c>
      <c r="X268" s="87"/>
      <c r="Y268" s="87"/>
      <c r="Z268" s="87"/>
      <c r="AA268" s="87"/>
      <c r="AB268" s="86">
        <f>C268</f>
        <v>14163513.43</v>
      </c>
      <c r="AC268" s="18"/>
      <c r="AD268" s="18">
        <v>2023</v>
      </c>
      <c r="AE268" s="18">
        <v>2023</v>
      </c>
      <c r="AF268" s="25"/>
      <c r="AG268" s="91"/>
    </row>
    <row r="269" spans="1:33" s="26" customFormat="1" ht="24" customHeight="1">
      <c r="A269" s="18">
        <f>A268+1</f>
        <v>243</v>
      </c>
      <c r="B269" s="35" t="s">
        <v>126</v>
      </c>
      <c r="C269" s="4">
        <f t="shared" ref="C269:C291" si="119">D269+F269+G269+H269+I269+K269+L269+M269+O269+P269+Q269+R269+S269+W269+V269+X269</f>
        <v>14717286.449999999</v>
      </c>
      <c r="D269" s="725"/>
      <c r="E269" s="87"/>
      <c r="F269" s="87"/>
      <c r="G269" s="727"/>
      <c r="H269" s="87"/>
      <c r="I269" s="201"/>
      <c r="J269" s="87"/>
      <c r="K269" s="725"/>
      <c r="L269" s="727"/>
      <c r="M269" s="204"/>
      <c r="N269" s="22"/>
      <c r="O269" s="204"/>
      <c r="P269" s="3">
        <f>ROUND(3910.1*3517.3,2)</f>
        <v>13752994.73</v>
      </c>
      <c r="Q269" s="766"/>
      <c r="R269" s="87"/>
      <c r="S269" s="87"/>
      <c r="T269" s="124"/>
      <c r="U269" s="124"/>
      <c r="V269" s="3">
        <v>757996.8</v>
      </c>
      <c r="W269" s="86">
        <f t="shared" ref="W269:W270" si="120">P269*1.5%</f>
        <v>206294.92</v>
      </c>
      <c r="X269" s="87"/>
      <c r="Y269" s="87"/>
      <c r="Z269" s="87"/>
      <c r="AA269" s="87"/>
      <c r="AB269" s="86">
        <f t="shared" ref="AB269:AB274" si="121">C269</f>
        <v>14717286.449999999</v>
      </c>
      <c r="AC269" s="18"/>
      <c r="AD269" s="18">
        <v>2023</v>
      </c>
      <c r="AE269" s="18">
        <v>2023</v>
      </c>
      <c r="AF269" s="25"/>
      <c r="AG269" s="91"/>
    </row>
    <row r="270" spans="1:33" s="26" customFormat="1" ht="24" customHeight="1">
      <c r="A270" s="18">
        <f t="shared" ref="A270:A291" si="122">A269+1</f>
        <v>244</v>
      </c>
      <c r="B270" s="35" t="s">
        <v>127</v>
      </c>
      <c r="C270" s="4">
        <f t="shared" si="119"/>
        <v>14629551.26</v>
      </c>
      <c r="D270" s="725"/>
      <c r="E270" s="87"/>
      <c r="F270" s="87"/>
      <c r="G270" s="727"/>
      <c r="H270" s="201"/>
      <c r="I270" s="201"/>
      <c r="J270" s="87"/>
      <c r="K270" s="725"/>
      <c r="L270" s="727"/>
      <c r="M270" s="204"/>
      <c r="N270" s="22"/>
      <c r="O270" s="204"/>
      <c r="P270" s="3">
        <f>ROUND(3886.8*3517.3,2)</f>
        <v>13671041.640000001</v>
      </c>
      <c r="Q270" s="766"/>
      <c r="R270" s="725"/>
      <c r="S270" s="725"/>
      <c r="T270" s="739"/>
      <c r="U270" s="739"/>
      <c r="V270" s="3">
        <v>753444</v>
      </c>
      <c r="W270" s="86">
        <f t="shared" si="120"/>
        <v>205065.62</v>
      </c>
      <c r="X270" s="87"/>
      <c r="Y270" s="87"/>
      <c r="Z270" s="87"/>
      <c r="AA270" s="87"/>
      <c r="AB270" s="86">
        <f t="shared" si="121"/>
        <v>14629551.26</v>
      </c>
      <c r="AC270" s="18"/>
      <c r="AD270" s="18">
        <v>2023</v>
      </c>
      <c r="AE270" s="18">
        <v>2023</v>
      </c>
      <c r="AF270" s="25"/>
      <c r="AG270" s="91"/>
    </row>
    <row r="271" spans="1:33" s="26" customFormat="1" ht="24" customHeight="1">
      <c r="A271" s="18">
        <f t="shared" si="122"/>
        <v>245</v>
      </c>
      <c r="B271" s="51" t="s">
        <v>586</v>
      </c>
      <c r="C271" s="4">
        <f t="shared" si="119"/>
        <v>17650668.120000001</v>
      </c>
      <c r="D271" s="725">
        <f>ROUND(2696.7*643.1,2)</f>
        <v>1734247.77</v>
      </c>
      <c r="E271" s="87"/>
      <c r="F271" s="87"/>
      <c r="G271" s="727">
        <f>ROUND(2696.7*650.2,2)</f>
        <v>1753394.34</v>
      </c>
      <c r="H271" s="727">
        <f>ROUND(2696.7*644.55,2)</f>
        <v>1738157.99</v>
      </c>
      <c r="I271" s="727">
        <f>ROUND(2696.7*3349.66,2)</f>
        <v>9033028.1199999992</v>
      </c>
      <c r="J271" s="727"/>
      <c r="K271" s="727"/>
      <c r="L271" s="727">
        <f>ROUND(2696.7*903.99,2)</f>
        <v>2437789.83</v>
      </c>
      <c r="M271" s="204"/>
      <c r="N271" s="22"/>
      <c r="O271" s="204"/>
      <c r="P271" s="725"/>
      <c r="Q271" s="725"/>
      <c r="R271" s="725"/>
      <c r="S271" s="725"/>
      <c r="T271" s="739"/>
      <c r="U271" s="739"/>
      <c r="V271" s="3">
        <v>703600.8</v>
      </c>
      <c r="W271" s="86">
        <f>(D271+G271+H271+I271+L271)*1.5%</f>
        <v>250449.27</v>
      </c>
      <c r="X271" s="87"/>
      <c r="Y271" s="87"/>
      <c r="Z271" s="87"/>
      <c r="AA271" s="87"/>
      <c r="AB271" s="86">
        <f t="shared" si="121"/>
        <v>17650668.120000001</v>
      </c>
      <c r="AC271" s="18"/>
      <c r="AD271" s="18">
        <v>2023</v>
      </c>
      <c r="AE271" s="18">
        <v>2023</v>
      </c>
      <c r="AF271" s="25"/>
      <c r="AG271" s="91"/>
    </row>
    <row r="272" spans="1:33" s="26" customFormat="1" ht="24" customHeight="1">
      <c r="A272" s="18">
        <f t="shared" si="122"/>
        <v>246</v>
      </c>
      <c r="B272" s="51" t="s">
        <v>225</v>
      </c>
      <c r="C272" s="4">
        <f t="shared" si="119"/>
        <v>5986649.6900000004</v>
      </c>
      <c r="D272" s="725"/>
      <c r="E272" s="87"/>
      <c r="F272" s="87"/>
      <c r="G272" s="727"/>
      <c r="H272" s="201"/>
      <c r="I272" s="201"/>
      <c r="J272" s="87"/>
      <c r="K272" s="725"/>
      <c r="L272" s="727"/>
      <c r="M272" s="204"/>
      <c r="N272" s="22"/>
      <c r="O272" s="204"/>
      <c r="P272" s="727"/>
      <c r="Q272" s="727">
        <f>ROUND(2681.5*763.97,2)</f>
        <v>2048585.56</v>
      </c>
      <c r="R272" s="725"/>
      <c r="S272" s="725">
        <f>ROUND(2681.5*1135.41,2)</f>
        <v>3044601.92</v>
      </c>
      <c r="T272" s="739"/>
      <c r="U272" s="739"/>
      <c r="V272" s="3">
        <v>817064.4</v>
      </c>
      <c r="W272" s="86">
        <f>(Q272+S272)*1.5%</f>
        <v>76397.81</v>
      </c>
      <c r="X272" s="87"/>
      <c r="Y272" s="87"/>
      <c r="Z272" s="87"/>
      <c r="AA272" s="87"/>
      <c r="AB272" s="86">
        <f t="shared" si="121"/>
        <v>5986649.6900000004</v>
      </c>
      <c r="AC272" s="18"/>
      <c r="AD272" s="18">
        <v>2023</v>
      </c>
      <c r="AE272" s="18">
        <v>2023</v>
      </c>
      <c r="AF272" s="25"/>
      <c r="AG272" s="91"/>
    </row>
    <row r="273" spans="1:33" s="26" customFormat="1" ht="24" customHeight="1">
      <c r="A273" s="18">
        <f t="shared" si="122"/>
        <v>247</v>
      </c>
      <c r="B273" s="51" t="s">
        <v>894</v>
      </c>
      <c r="C273" s="4">
        <f t="shared" si="119"/>
        <v>18955882.350000001</v>
      </c>
      <c r="D273" s="725"/>
      <c r="E273" s="87"/>
      <c r="F273" s="87"/>
      <c r="G273" s="727"/>
      <c r="H273" s="201"/>
      <c r="I273" s="201"/>
      <c r="J273" s="87"/>
      <c r="K273" s="725"/>
      <c r="L273" s="727"/>
      <c r="M273" s="204"/>
      <c r="N273" s="204">
        <v>6</v>
      </c>
      <c r="O273" s="727">
        <f>ROUND(3037801.66*6,2)</f>
        <v>18226809.960000001</v>
      </c>
      <c r="P273" s="727"/>
      <c r="Q273" s="727"/>
      <c r="R273" s="725"/>
      <c r="S273" s="725"/>
      <c r="T273" s="739"/>
      <c r="U273" s="739"/>
      <c r="V273" s="3">
        <v>455670.24</v>
      </c>
      <c r="W273" s="86">
        <f>O273*1.5%</f>
        <v>273402.15000000002</v>
      </c>
      <c r="X273" s="87"/>
      <c r="Y273" s="87"/>
      <c r="Z273" s="87"/>
      <c r="AA273" s="87"/>
      <c r="AB273" s="86">
        <f t="shared" si="121"/>
        <v>18955882.350000001</v>
      </c>
      <c r="AC273" s="18"/>
      <c r="AD273" s="18">
        <v>2023</v>
      </c>
      <c r="AE273" s="18">
        <v>2023</v>
      </c>
      <c r="AF273" s="25"/>
      <c r="AG273" s="91"/>
    </row>
    <row r="274" spans="1:33" s="26" customFormat="1" ht="24" customHeight="1">
      <c r="A274" s="18">
        <f t="shared" si="122"/>
        <v>248</v>
      </c>
      <c r="B274" s="51" t="s">
        <v>895</v>
      </c>
      <c r="C274" s="4">
        <f t="shared" si="119"/>
        <v>6468131.3399999999</v>
      </c>
      <c r="D274" s="725"/>
      <c r="E274" s="87"/>
      <c r="F274" s="87"/>
      <c r="G274" s="727"/>
      <c r="H274" s="201"/>
      <c r="I274" s="201"/>
      <c r="J274" s="87"/>
      <c r="K274" s="725"/>
      <c r="L274" s="727"/>
      <c r="M274" s="204"/>
      <c r="N274" s="22"/>
      <c r="O274" s="204"/>
      <c r="P274" s="727">
        <f>ROUND(486*12292.23,2)</f>
        <v>5974023.7800000003</v>
      </c>
      <c r="Q274" s="727"/>
      <c r="R274" s="725"/>
      <c r="S274" s="725"/>
      <c r="T274" s="739"/>
      <c r="U274" s="739"/>
      <c r="V274" s="3">
        <v>404497.2</v>
      </c>
      <c r="W274" s="86">
        <f>P274*1.5%</f>
        <v>89610.36</v>
      </c>
      <c r="X274" s="87"/>
      <c r="Y274" s="87"/>
      <c r="Z274" s="87"/>
      <c r="AA274" s="87"/>
      <c r="AB274" s="86">
        <f t="shared" si="121"/>
        <v>6468131.3399999999</v>
      </c>
      <c r="AC274" s="18"/>
      <c r="AD274" s="18">
        <v>2023</v>
      </c>
      <c r="AE274" s="18">
        <v>2023</v>
      </c>
      <c r="AF274" s="25"/>
      <c r="AG274" s="91"/>
    </row>
    <row r="275" spans="1:33" s="26" customFormat="1" ht="24" customHeight="1">
      <c r="A275" s="18">
        <f t="shared" si="122"/>
        <v>249</v>
      </c>
      <c r="B275" s="98" t="s">
        <v>392</v>
      </c>
      <c r="C275" s="4">
        <f t="shared" si="119"/>
        <v>16045832.880000001</v>
      </c>
      <c r="D275" s="725"/>
      <c r="E275" s="87"/>
      <c r="F275" s="87"/>
      <c r="G275" s="727"/>
      <c r="H275" s="201"/>
      <c r="I275" s="201"/>
      <c r="J275" s="87"/>
      <c r="K275" s="725"/>
      <c r="L275" s="727"/>
      <c r="M275" s="204"/>
      <c r="N275" s="22"/>
      <c r="O275" s="204"/>
      <c r="P275" s="725">
        <v>15201203.92</v>
      </c>
      <c r="Q275" s="727"/>
      <c r="R275" s="725"/>
      <c r="S275" s="725"/>
      <c r="T275" s="739"/>
      <c r="U275" s="739"/>
      <c r="V275" s="728">
        <v>819165.01</v>
      </c>
      <c r="W275" s="767">
        <v>25463.95</v>
      </c>
      <c r="X275" s="87"/>
      <c r="Y275" s="87"/>
      <c r="Z275" s="86">
        <f>C275</f>
        <v>16045832.880000001</v>
      </c>
      <c r="AA275" s="87"/>
      <c r="AB275" s="768"/>
      <c r="AC275" s="18"/>
      <c r="AD275" s="18">
        <v>2023</v>
      </c>
      <c r="AE275" s="18">
        <v>2023</v>
      </c>
      <c r="AF275" s="25"/>
      <c r="AG275" s="91"/>
    </row>
    <row r="276" spans="1:33" s="26" customFormat="1" ht="24" customHeight="1">
      <c r="A276" s="18">
        <f t="shared" si="122"/>
        <v>250</v>
      </c>
      <c r="B276" s="98" t="s">
        <v>393</v>
      </c>
      <c r="C276" s="4">
        <f t="shared" si="119"/>
        <v>15625309.390000001</v>
      </c>
      <c r="D276" s="725"/>
      <c r="E276" s="87"/>
      <c r="F276" s="87"/>
      <c r="G276" s="727"/>
      <c r="H276" s="201"/>
      <c r="I276" s="201"/>
      <c r="J276" s="87"/>
      <c r="K276" s="725"/>
      <c r="L276" s="727"/>
      <c r="M276" s="204"/>
      <c r="N276" s="22"/>
      <c r="O276" s="204"/>
      <c r="P276" s="725">
        <v>14807255.07</v>
      </c>
      <c r="Q276" s="727"/>
      <c r="R276" s="725"/>
      <c r="S276" s="725"/>
      <c r="T276" s="739"/>
      <c r="U276" s="739"/>
      <c r="V276" s="767">
        <v>793374.91</v>
      </c>
      <c r="W276" s="769">
        <v>24679.41</v>
      </c>
      <c r="X276" s="87"/>
      <c r="Y276" s="87"/>
      <c r="Z276" s="86">
        <f>C276</f>
        <v>15625309.390000001</v>
      </c>
      <c r="AA276" s="87"/>
      <c r="AB276" s="768"/>
      <c r="AC276" s="18"/>
      <c r="AD276" s="18">
        <v>2023</v>
      </c>
      <c r="AE276" s="18">
        <v>2023</v>
      </c>
      <c r="AF276" s="25"/>
      <c r="AG276" s="91"/>
    </row>
    <row r="277" spans="1:33" s="26" customFormat="1" ht="24" customHeight="1">
      <c r="A277" s="18">
        <f t="shared" si="122"/>
        <v>251</v>
      </c>
      <c r="B277" s="98" t="s">
        <v>394</v>
      </c>
      <c r="C277" s="4">
        <f t="shared" si="119"/>
        <v>15924341.51</v>
      </c>
      <c r="D277" s="725"/>
      <c r="E277" s="87"/>
      <c r="F277" s="87"/>
      <c r="G277" s="727"/>
      <c r="H277" s="201"/>
      <c r="I277" s="201"/>
      <c r="J277" s="87"/>
      <c r="K277" s="725"/>
      <c r="L277" s="727"/>
      <c r="M277" s="204"/>
      <c r="N277" s="22"/>
      <c r="O277" s="204"/>
      <c r="P277" s="767">
        <v>15100034.07</v>
      </c>
      <c r="Q277" s="727"/>
      <c r="R277" s="725"/>
      <c r="S277" s="725"/>
      <c r="T277" s="739"/>
      <c r="U277" s="739"/>
      <c r="V277" s="767">
        <v>799267.18</v>
      </c>
      <c r="W277" s="767">
        <v>25040.26</v>
      </c>
      <c r="X277" s="87"/>
      <c r="Y277" s="87"/>
      <c r="Z277" s="86">
        <f>C277</f>
        <v>15924341.51</v>
      </c>
      <c r="AA277" s="87"/>
      <c r="AB277" s="768"/>
      <c r="AC277" s="18"/>
      <c r="AD277" s="18">
        <v>2023</v>
      </c>
      <c r="AE277" s="18">
        <v>2023</v>
      </c>
      <c r="AF277" s="25"/>
      <c r="AG277" s="91"/>
    </row>
    <row r="278" spans="1:33" s="26" customFormat="1" ht="24" customHeight="1">
      <c r="A278" s="18">
        <f t="shared" si="122"/>
        <v>252</v>
      </c>
      <c r="B278" s="98" t="s">
        <v>395</v>
      </c>
      <c r="C278" s="4">
        <f t="shared" si="119"/>
        <v>14826884.529999999</v>
      </c>
      <c r="D278" s="725"/>
      <c r="E278" s="87"/>
      <c r="F278" s="87"/>
      <c r="G278" s="727"/>
      <c r="H278" s="201"/>
      <c r="I278" s="201"/>
      <c r="J278" s="87"/>
      <c r="K278" s="725"/>
      <c r="L278" s="727"/>
      <c r="M278" s="204"/>
      <c r="N278" s="22"/>
      <c r="O278" s="204"/>
      <c r="P278" s="767">
        <v>14001480.35</v>
      </c>
      <c r="Q278" s="727"/>
      <c r="R278" s="725"/>
      <c r="S278" s="725"/>
      <c r="T278" s="739"/>
      <c r="U278" s="739"/>
      <c r="V278" s="767">
        <v>800395.51</v>
      </c>
      <c r="W278" s="767">
        <v>25008.67</v>
      </c>
      <c r="X278" s="87"/>
      <c r="Y278" s="87"/>
      <c r="Z278" s="86">
        <f>C278</f>
        <v>14826884.529999999</v>
      </c>
      <c r="AA278" s="87"/>
      <c r="AB278" s="768"/>
      <c r="AC278" s="18"/>
      <c r="AD278" s="18">
        <v>2023</v>
      </c>
      <c r="AE278" s="18">
        <v>2023</v>
      </c>
      <c r="AF278" s="25"/>
      <c r="AG278" s="91"/>
    </row>
    <row r="279" spans="1:33" s="26" customFormat="1" ht="24" customHeight="1">
      <c r="A279" s="18">
        <f t="shared" si="122"/>
        <v>253</v>
      </c>
      <c r="B279" s="98" t="s">
        <v>396</v>
      </c>
      <c r="C279" s="4">
        <f t="shared" si="119"/>
        <v>15182749.550000001</v>
      </c>
      <c r="D279" s="725"/>
      <c r="E279" s="87"/>
      <c r="F279" s="87"/>
      <c r="G279" s="727"/>
      <c r="H279" s="201"/>
      <c r="I279" s="201"/>
      <c r="J279" s="87"/>
      <c r="K279" s="725"/>
      <c r="L279" s="727"/>
      <c r="M279" s="204"/>
      <c r="N279" s="22"/>
      <c r="O279" s="204"/>
      <c r="P279" s="767">
        <v>14397058.779999999</v>
      </c>
      <c r="Q279" s="727"/>
      <c r="R279" s="725"/>
      <c r="S279" s="725"/>
      <c r="T279" s="739"/>
      <c r="U279" s="739"/>
      <c r="V279" s="767">
        <v>760552.23</v>
      </c>
      <c r="W279" s="767">
        <v>25138.54</v>
      </c>
      <c r="X279" s="87"/>
      <c r="Y279" s="87"/>
      <c r="Z279" s="86">
        <f>C279</f>
        <v>15182749.550000001</v>
      </c>
      <c r="AA279" s="87"/>
      <c r="AB279" s="768"/>
      <c r="AC279" s="18"/>
      <c r="AD279" s="18">
        <v>2023</v>
      </c>
      <c r="AE279" s="18">
        <v>2023</v>
      </c>
      <c r="AF279" s="25"/>
      <c r="AG279" s="91"/>
    </row>
    <row r="280" spans="1:33" s="26" customFormat="1" ht="24" customHeight="1">
      <c r="A280" s="18">
        <f t="shared" si="122"/>
        <v>254</v>
      </c>
      <c r="B280" s="51" t="s">
        <v>128</v>
      </c>
      <c r="C280" s="4">
        <f t="shared" si="119"/>
        <v>9351509.1699999999</v>
      </c>
      <c r="D280" s="725"/>
      <c r="E280" s="87"/>
      <c r="F280" s="87"/>
      <c r="G280" s="727"/>
      <c r="H280" s="201"/>
      <c r="I280" s="201"/>
      <c r="J280" s="87"/>
      <c r="K280" s="725"/>
      <c r="L280" s="727"/>
      <c r="M280" s="204"/>
      <c r="N280" s="22"/>
      <c r="O280" s="204"/>
      <c r="P280" s="727"/>
      <c r="Q280" s="727"/>
      <c r="R280" s="725">
        <v>9182098.8000000007</v>
      </c>
      <c r="S280" s="725"/>
      <c r="T280" s="739"/>
      <c r="U280" s="739"/>
      <c r="V280" s="3"/>
      <c r="W280" s="86">
        <v>169410.37</v>
      </c>
      <c r="X280" s="87"/>
      <c r="Y280" s="87"/>
      <c r="Z280" s="86">
        <f t="shared" ref="Z280:Z291" si="123">C280</f>
        <v>9351509.1699999999</v>
      </c>
      <c r="AA280" s="87"/>
      <c r="AB280" s="86">
        <f t="shared" ref="AB280:AB287" si="124">C280-Z280</f>
        <v>0</v>
      </c>
      <c r="AC280" s="18"/>
      <c r="AD280" s="18">
        <v>2022</v>
      </c>
      <c r="AE280" s="18">
        <v>2023</v>
      </c>
      <c r="AF280" s="25"/>
      <c r="AG280" s="91"/>
    </row>
    <row r="281" spans="1:33" s="26" customFormat="1" ht="24" customHeight="1">
      <c r="A281" s="18">
        <f t="shared" si="122"/>
        <v>255</v>
      </c>
      <c r="B281" s="51" t="s">
        <v>129</v>
      </c>
      <c r="C281" s="4">
        <f t="shared" si="119"/>
        <v>2497869.4300000002</v>
      </c>
      <c r="D281" s="725"/>
      <c r="E281" s="87"/>
      <c r="F281" s="87"/>
      <c r="G281" s="727"/>
      <c r="H281" s="201"/>
      <c r="I281" s="201">
        <v>2460955.1</v>
      </c>
      <c r="J281" s="87"/>
      <c r="K281" s="725"/>
      <c r="L281" s="727"/>
      <c r="M281" s="204"/>
      <c r="N281" s="22"/>
      <c r="O281" s="204"/>
      <c r="P281" s="727"/>
      <c r="Q281" s="727"/>
      <c r="R281" s="725"/>
      <c r="S281" s="725"/>
      <c r="T281" s="739"/>
      <c r="U281" s="739"/>
      <c r="V281" s="3"/>
      <c r="W281" s="86">
        <v>36914.33</v>
      </c>
      <c r="X281" s="87"/>
      <c r="Y281" s="87"/>
      <c r="Z281" s="86">
        <f t="shared" si="123"/>
        <v>2497869.4300000002</v>
      </c>
      <c r="AA281" s="87"/>
      <c r="AB281" s="86">
        <f t="shared" si="124"/>
        <v>0</v>
      </c>
      <c r="AC281" s="18"/>
      <c r="AD281" s="18">
        <v>2022</v>
      </c>
      <c r="AE281" s="18">
        <v>2023</v>
      </c>
      <c r="AF281" s="25"/>
      <c r="AG281" s="91"/>
    </row>
    <row r="282" spans="1:33" s="26" customFormat="1" ht="24" customHeight="1">
      <c r="A282" s="18">
        <f t="shared" si="122"/>
        <v>256</v>
      </c>
      <c r="B282" s="51" t="s">
        <v>130</v>
      </c>
      <c r="C282" s="4">
        <f t="shared" si="119"/>
        <v>12026143.609999999</v>
      </c>
      <c r="D282" s="725"/>
      <c r="E282" s="87"/>
      <c r="F282" s="87"/>
      <c r="G282" s="727"/>
      <c r="H282" s="201"/>
      <c r="I282" s="201">
        <v>11848417.35</v>
      </c>
      <c r="J282" s="87"/>
      <c r="K282" s="725"/>
      <c r="L282" s="727"/>
      <c r="M282" s="204"/>
      <c r="N282" s="22"/>
      <c r="O282" s="204"/>
      <c r="P282" s="727"/>
      <c r="Q282" s="727"/>
      <c r="R282" s="725"/>
      <c r="S282" s="725"/>
      <c r="T282" s="739"/>
      <c r="U282" s="739"/>
      <c r="V282" s="3"/>
      <c r="W282" s="86">
        <v>177726.26</v>
      </c>
      <c r="X282" s="87"/>
      <c r="Y282" s="87"/>
      <c r="Z282" s="86">
        <f t="shared" si="123"/>
        <v>12026143.609999999</v>
      </c>
      <c r="AA282" s="87"/>
      <c r="AB282" s="86">
        <f t="shared" si="124"/>
        <v>0</v>
      </c>
      <c r="AC282" s="18"/>
      <c r="AD282" s="18">
        <v>2022</v>
      </c>
      <c r="AE282" s="18">
        <v>2023</v>
      </c>
      <c r="AF282" s="25"/>
      <c r="AG282" s="91"/>
    </row>
    <row r="283" spans="1:33" s="26" customFormat="1" ht="24" customHeight="1">
      <c r="A283" s="18">
        <f t="shared" si="122"/>
        <v>257</v>
      </c>
      <c r="B283" s="51" t="s">
        <v>131</v>
      </c>
      <c r="C283" s="4">
        <f t="shared" si="119"/>
        <v>7046170.3099999996</v>
      </c>
      <c r="D283" s="725"/>
      <c r="E283" s="87"/>
      <c r="F283" s="87"/>
      <c r="G283" s="727"/>
      <c r="H283" s="201"/>
      <c r="I283" s="201">
        <v>6941344.3799999999</v>
      </c>
      <c r="J283" s="87"/>
      <c r="K283" s="725"/>
      <c r="L283" s="727"/>
      <c r="M283" s="204"/>
      <c r="N283" s="22"/>
      <c r="O283" s="204"/>
      <c r="P283" s="727"/>
      <c r="Q283" s="727"/>
      <c r="R283" s="725"/>
      <c r="S283" s="725"/>
      <c r="T283" s="739"/>
      <c r="U283" s="739"/>
      <c r="V283" s="3"/>
      <c r="W283" s="86">
        <v>104825.93</v>
      </c>
      <c r="X283" s="87"/>
      <c r="Y283" s="87"/>
      <c r="Z283" s="86">
        <f t="shared" si="123"/>
        <v>7046170.3099999996</v>
      </c>
      <c r="AA283" s="87"/>
      <c r="AB283" s="86">
        <f t="shared" si="124"/>
        <v>0</v>
      </c>
      <c r="AC283" s="18"/>
      <c r="AD283" s="18">
        <v>2022</v>
      </c>
      <c r="AE283" s="18">
        <v>2023</v>
      </c>
      <c r="AF283" s="25"/>
      <c r="AG283" s="91"/>
    </row>
    <row r="284" spans="1:33" s="26" customFormat="1" ht="24" customHeight="1">
      <c r="A284" s="18">
        <f t="shared" si="122"/>
        <v>258</v>
      </c>
      <c r="B284" s="51" t="s">
        <v>132</v>
      </c>
      <c r="C284" s="4">
        <f t="shared" si="119"/>
        <v>11607691.130000001</v>
      </c>
      <c r="D284" s="725"/>
      <c r="E284" s="87"/>
      <c r="F284" s="87"/>
      <c r="G284" s="727"/>
      <c r="H284" s="201"/>
      <c r="I284" s="201">
        <v>11429402.130000001</v>
      </c>
      <c r="J284" s="87"/>
      <c r="K284" s="725"/>
      <c r="L284" s="727"/>
      <c r="M284" s="204"/>
      <c r="N284" s="22"/>
      <c r="O284" s="204"/>
      <c r="P284" s="727"/>
      <c r="Q284" s="727"/>
      <c r="R284" s="725"/>
      <c r="S284" s="725"/>
      <c r="T284" s="739"/>
      <c r="U284" s="739"/>
      <c r="V284" s="3"/>
      <c r="W284" s="86">
        <v>178289</v>
      </c>
      <c r="X284" s="87"/>
      <c r="Y284" s="87"/>
      <c r="Z284" s="86">
        <f t="shared" si="123"/>
        <v>11607691.130000001</v>
      </c>
      <c r="AA284" s="87"/>
      <c r="AB284" s="86">
        <f t="shared" si="124"/>
        <v>0</v>
      </c>
      <c r="AC284" s="18"/>
      <c r="AD284" s="18">
        <v>2022</v>
      </c>
      <c r="AE284" s="18">
        <v>2023</v>
      </c>
      <c r="AF284" s="25"/>
      <c r="AG284" s="91"/>
    </row>
    <row r="285" spans="1:33" s="26" customFormat="1" ht="24" customHeight="1">
      <c r="A285" s="18">
        <f t="shared" si="122"/>
        <v>259</v>
      </c>
      <c r="B285" s="51" t="s">
        <v>133</v>
      </c>
      <c r="C285" s="4">
        <f t="shared" si="119"/>
        <v>11913946.75</v>
      </c>
      <c r="D285" s="725"/>
      <c r="E285" s="87"/>
      <c r="F285" s="87"/>
      <c r="G285" s="727"/>
      <c r="H285" s="201"/>
      <c r="I285" s="201">
        <v>11737878.57</v>
      </c>
      <c r="J285" s="87"/>
      <c r="K285" s="725"/>
      <c r="L285" s="727"/>
      <c r="M285" s="204"/>
      <c r="N285" s="22"/>
      <c r="O285" s="204"/>
      <c r="P285" s="727"/>
      <c r="Q285" s="727"/>
      <c r="R285" s="725"/>
      <c r="S285" s="725"/>
      <c r="T285" s="739"/>
      <c r="U285" s="739"/>
      <c r="V285" s="3"/>
      <c r="W285" s="86">
        <v>176068.18</v>
      </c>
      <c r="X285" s="87"/>
      <c r="Y285" s="87"/>
      <c r="Z285" s="86">
        <f t="shared" si="123"/>
        <v>11913946.75</v>
      </c>
      <c r="AA285" s="87"/>
      <c r="AB285" s="86">
        <f t="shared" si="124"/>
        <v>0</v>
      </c>
      <c r="AC285" s="18"/>
      <c r="AD285" s="18">
        <v>2022</v>
      </c>
      <c r="AE285" s="18">
        <v>2023</v>
      </c>
      <c r="AF285" s="25"/>
      <c r="AG285" s="91"/>
    </row>
    <row r="286" spans="1:33" s="26" customFormat="1" ht="24" customHeight="1">
      <c r="A286" s="18">
        <f t="shared" si="122"/>
        <v>260</v>
      </c>
      <c r="B286" s="51" t="s">
        <v>134</v>
      </c>
      <c r="C286" s="4">
        <f t="shared" si="119"/>
        <v>5410439.46</v>
      </c>
      <c r="D286" s="725"/>
      <c r="E286" s="87"/>
      <c r="F286" s="87"/>
      <c r="G286" s="727"/>
      <c r="H286" s="201"/>
      <c r="I286" s="201">
        <v>5328646.22</v>
      </c>
      <c r="J286" s="87"/>
      <c r="K286" s="725"/>
      <c r="L286" s="727"/>
      <c r="M286" s="204"/>
      <c r="N286" s="22"/>
      <c r="O286" s="204"/>
      <c r="P286" s="727"/>
      <c r="Q286" s="727"/>
      <c r="R286" s="725"/>
      <c r="S286" s="725"/>
      <c r="T286" s="739"/>
      <c r="U286" s="739"/>
      <c r="V286" s="3"/>
      <c r="W286" s="86">
        <v>81793.240000000005</v>
      </c>
      <c r="X286" s="87"/>
      <c r="Y286" s="87"/>
      <c r="Z286" s="86">
        <f t="shared" si="123"/>
        <v>5410439.46</v>
      </c>
      <c r="AA286" s="87"/>
      <c r="AB286" s="86">
        <f t="shared" si="124"/>
        <v>0</v>
      </c>
      <c r="AC286" s="18"/>
      <c r="AD286" s="18">
        <v>2022</v>
      </c>
      <c r="AE286" s="18">
        <v>2023</v>
      </c>
      <c r="AF286" s="25"/>
      <c r="AG286" s="91"/>
    </row>
    <row r="287" spans="1:33" s="26" customFormat="1" ht="24" customHeight="1">
      <c r="A287" s="18">
        <f t="shared" si="122"/>
        <v>261</v>
      </c>
      <c r="B287" s="51" t="s">
        <v>135</v>
      </c>
      <c r="C287" s="4">
        <f t="shared" si="119"/>
        <v>6081362.1600000001</v>
      </c>
      <c r="D287" s="87"/>
      <c r="E287" s="87"/>
      <c r="F287" s="87"/>
      <c r="G287" s="727"/>
      <c r="H287" s="87"/>
      <c r="I287" s="201"/>
      <c r="J287" s="87"/>
      <c r="K287" s="725"/>
      <c r="L287" s="727"/>
      <c r="M287" s="727"/>
      <c r="N287" s="12"/>
      <c r="O287" s="727"/>
      <c r="P287" s="727"/>
      <c r="Q287" s="727"/>
      <c r="R287" s="725">
        <v>5814899.4500000002</v>
      </c>
      <c r="S287" s="87"/>
      <c r="T287" s="124"/>
      <c r="U287" s="124"/>
      <c r="V287" s="3"/>
      <c r="W287" s="86">
        <v>266462.71000000002</v>
      </c>
      <c r="X287" s="87"/>
      <c r="Y287" s="87"/>
      <c r="Z287" s="86">
        <f t="shared" si="123"/>
        <v>6081362.1600000001</v>
      </c>
      <c r="AA287" s="87"/>
      <c r="AB287" s="86">
        <f t="shared" si="124"/>
        <v>0</v>
      </c>
      <c r="AC287" s="18"/>
      <c r="AD287" s="18">
        <v>2022</v>
      </c>
      <c r="AE287" s="18">
        <v>2023</v>
      </c>
      <c r="AF287" s="25"/>
      <c r="AG287" s="91"/>
    </row>
    <row r="288" spans="1:33" s="26" customFormat="1" ht="24" customHeight="1">
      <c r="A288" s="18">
        <f t="shared" si="122"/>
        <v>262</v>
      </c>
      <c r="B288" s="99" t="s">
        <v>460</v>
      </c>
      <c r="C288" s="4">
        <f t="shared" si="119"/>
        <v>9663243.3399999999</v>
      </c>
      <c r="D288" s="87"/>
      <c r="E288" s="87"/>
      <c r="F288" s="87"/>
      <c r="G288" s="727"/>
      <c r="H288" s="87"/>
      <c r="I288" s="201"/>
      <c r="J288" s="87"/>
      <c r="K288" s="725"/>
      <c r="L288" s="727"/>
      <c r="M288" s="727"/>
      <c r="N288" s="12"/>
      <c r="O288" s="727"/>
      <c r="P288" s="727">
        <v>8656938.3000000007</v>
      </c>
      <c r="Q288" s="727"/>
      <c r="R288" s="725"/>
      <c r="S288" s="87"/>
      <c r="T288" s="124"/>
      <c r="U288" s="124"/>
      <c r="V288" s="3">
        <v>795668.4</v>
      </c>
      <c r="W288" s="86">
        <v>210636.64</v>
      </c>
      <c r="X288" s="87"/>
      <c r="Y288" s="87"/>
      <c r="Z288" s="86">
        <f t="shared" si="123"/>
        <v>9663243.3399999999</v>
      </c>
      <c r="AA288" s="87"/>
      <c r="AB288" s="86"/>
      <c r="AC288" s="18"/>
      <c r="AD288" s="18">
        <v>2023</v>
      </c>
      <c r="AE288" s="18">
        <v>2023</v>
      </c>
      <c r="AF288" s="25"/>
      <c r="AG288" s="91"/>
    </row>
    <row r="289" spans="1:33" s="26" customFormat="1" ht="24" customHeight="1">
      <c r="A289" s="18">
        <f t="shared" si="122"/>
        <v>263</v>
      </c>
      <c r="B289" s="99" t="s">
        <v>1227</v>
      </c>
      <c r="C289" s="4">
        <f t="shared" si="119"/>
        <v>6007541.1200000001</v>
      </c>
      <c r="D289" s="87"/>
      <c r="E289" s="87"/>
      <c r="F289" s="87"/>
      <c r="G289" s="727"/>
      <c r="H289" s="87"/>
      <c r="I289" s="201"/>
      <c r="J289" s="87"/>
      <c r="K289" s="725"/>
      <c r="L289" s="727"/>
      <c r="M289" s="727"/>
      <c r="N289" s="12"/>
      <c r="O289" s="727"/>
      <c r="P289" s="727">
        <v>5205585.22</v>
      </c>
      <c r="Q289" s="727"/>
      <c r="R289" s="725"/>
      <c r="S289" s="87"/>
      <c r="T289" s="124"/>
      <c r="U289" s="124"/>
      <c r="V289" s="3">
        <v>701902.8</v>
      </c>
      <c r="W289" s="86">
        <v>100053.1</v>
      </c>
      <c r="X289" s="87"/>
      <c r="Y289" s="87"/>
      <c r="Z289" s="86">
        <f t="shared" si="123"/>
        <v>6007541.1200000001</v>
      </c>
      <c r="AA289" s="87"/>
      <c r="AB289" s="86"/>
      <c r="AC289" s="18"/>
      <c r="AD289" s="18">
        <v>2023</v>
      </c>
      <c r="AE289" s="18">
        <v>2023</v>
      </c>
      <c r="AF289" s="25"/>
      <c r="AG289" s="91"/>
    </row>
    <row r="290" spans="1:33" s="26" customFormat="1" ht="24" customHeight="1">
      <c r="A290" s="18">
        <f t="shared" si="122"/>
        <v>264</v>
      </c>
      <c r="B290" s="99" t="s">
        <v>1228</v>
      </c>
      <c r="C290" s="4">
        <f t="shared" si="119"/>
        <v>6105336.8600000003</v>
      </c>
      <c r="D290" s="87"/>
      <c r="E290" s="87"/>
      <c r="F290" s="87"/>
      <c r="G290" s="727"/>
      <c r="H290" s="87"/>
      <c r="I290" s="201"/>
      <c r="J290" s="87"/>
      <c r="K290" s="725"/>
      <c r="L290" s="727"/>
      <c r="M290" s="727"/>
      <c r="N290" s="12"/>
      <c r="O290" s="727"/>
      <c r="P290" s="727">
        <v>5218053.88</v>
      </c>
      <c r="Q290" s="727"/>
      <c r="R290" s="725"/>
      <c r="S290" s="87"/>
      <c r="T290" s="124"/>
      <c r="U290" s="124"/>
      <c r="V290" s="3">
        <v>751364.4</v>
      </c>
      <c r="W290" s="86">
        <v>135918.57999999999</v>
      </c>
      <c r="X290" s="87"/>
      <c r="Y290" s="87"/>
      <c r="Z290" s="86">
        <f t="shared" si="123"/>
        <v>6105336.8600000003</v>
      </c>
      <c r="AA290" s="87"/>
      <c r="AB290" s="86"/>
      <c r="AC290" s="18"/>
      <c r="AD290" s="18">
        <v>2023</v>
      </c>
      <c r="AE290" s="18">
        <v>2023</v>
      </c>
      <c r="AF290" s="25"/>
      <c r="AG290" s="91"/>
    </row>
    <row r="291" spans="1:33" s="26" customFormat="1" ht="24" customHeight="1">
      <c r="A291" s="18">
        <f t="shared" si="122"/>
        <v>265</v>
      </c>
      <c r="B291" s="99" t="s">
        <v>1229</v>
      </c>
      <c r="C291" s="4">
        <f t="shared" si="119"/>
        <v>6109895.0999999996</v>
      </c>
      <c r="D291" s="87"/>
      <c r="E291" s="87"/>
      <c r="F291" s="87"/>
      <c r="G291" s="727"/>
      <c r="H291" s="87"/>
      <c r="I291" s="201"/>
      <c r="J291" s="87"/>
      <c r="K291" s="725"/>
      <c r="L291" s="727"/>
      <c r="M291" s="727"/>
      <c r="N291" s="12"/>
      <c r="O291" s="727"/>
      <c r="P291" s="727">
        <v>5347915.72</v>
      </c>
      <c r="Q291" s="727"/>
      <c r="R291" s="725"/>
      <c r="S291" s="87"/>
      <c r="T291" s="124"/>
      <c r="U291" s="124"/>
      <c r="V291" s="3">
        <v>620179.19999999995</v>
      </c>
      <c r="W291" s="86">
        <v>141800.18</v>
      </c>
      <c r="X291" s="87"/>
      <c r="Y291" s="87"/>
      <c r="Z291" s="86">
        <f t="shared" si="123"/>
        <v>6109895.0999999996</v>
      </c>
      <c r="AA291" s="87"/>
      <c r="AB291" s="86"/>
      <c r="AC291" s="18"/>
      <c r="AD291" s="18">
        <v>2023</v>
      </c>
      <c r="AE291" s="18">
        <v>2023</v>
      </c>
      <c r="AF291" s="25"/>
      <c r="AG291" s="91"/>
    </row>
    <row r="292" spans="1:33" s="148" customFormat="1" ht="24" customHeight="1">
      <c r="A292" s="883" t="s">
        <v>42</v>
      </c>
      <c r="B292" s="883"/>
      <c r="C292" s="16">
        <f>SUM(C268:C291)</f>
        <v>263997948.94</v>
      </c>
      <c r="D292" s="16">
        <f t="shared" ref="D292:Y292" si="125">SUM(D268:D287)</f>
        <v>1734247.77</v>
      </c>
      <c r="E292" s="16">
        <f t="shared" si="125"/>
        <v>0</v>
      </c>
      <c r="F292" s="16">
        <f t="shared" si="125"/>
        <v>0</v>
      </c>
      <c r="G292" s="16">
        <f t="shared" si="125"/>
        <v>1753394.34</v>
      </c>
      <c r="H292" s="16">
        <f t="shared" si="125"/>
        <v>1738157.99</v>
      </c>
      <c r="I292" s="16">
        <f t="shared" si="125"/>
        <v>58779671.869999997</v>
      </c>
      <c r="J292" s="16">
        <f t="shared" si="125"/>
        <v>0</v>
      </c>
      <c r="K292" s="16">
        <f t="shared" si="125"/>
        <v>0</v>
      </c>
      <c r="L292" s="16">
        <f t="shared" si="125"/>
        <v>2437789.83</v>
      </c>
      <c r="M292" s="16">
        <f t="shared" si="125"/>
        <v>0</v>
      </c>
      <c r="N292" s="876">
        <f t="shared" si="125"/>
        <v>6</v>
      </c>
      <c r="O292" s="770">
        <f t="shared" si="125"/>
        <v>18226809.960000001</v>
      </c>
      <c r="P292" s="770">
        <f>SUM(P268:P291)</f>
        <v>144553357.50999999</v>
      </c>
      <c r="Q292" s="770">
        <f t="shared" si="125"/>
        <v>2048585.56</v>
      </c>
      <c r="R292" s="770">
        <f t="shared" si="125"/>
        <v>14996998.25</v>
      </c>
      <c r="S292" s="770">
        <f t="shared" si="125"/>
        <v>3044601.92</v>
      </c>
      <c r="T292" s="771"/>
      <c r="U292" s="771"/>
      <c r="V292" s="770">
        <f>SUM(V268:V291)</f>
        <v>11479587.880000001</v>
      </c>
      <c r="W292" s="770">
        <f>SUM(W268:W291)</f>
        <v>3204746.06</v>
      </c>
      <c r="X292" s="770">
        <f t="shared" si="125"/>
        <v>0</v>
      </c>
      <c r="Y292" s="770">
        <f t="shared" si="125"/>
        <v>0</v>
      </c>
      <c r="Z292" s="770">
        <f>SUM(Z268:Z291)</f>
        <v>171426266.30000001</v>
      </c>
      <c r="AA292" s="770">
        <f t="shared" ref="AA292:AB292" si="126">SUM(AA268:AA291)</f>
        <v>0</v>
      </c>
      <c r="AB292" s="770">
        <f t="shared" si="126"/>
        <v>92571682.640000001</v>
      </c>
      <c r="AC292" s="798"/>
      <c r="AD292" s="798" t="s">
        <v>29</v>
      </c>
      <c r="AE292" s="798" t="s">
        <v>29</v>
      </c>
      <c r="AF292" s="146"/>
      <c r="AG292" s="147"/>
    </row>
    <row r="293" spans="1:33" ht="24" customHeight="1">
      <c r="A293" s="888" t="s">
        <v>365</v>
      </c>
      <c r="B293" s="888"/>
      <c r="C293" s="888"/>
      <c r="D293" s="888"/>
      <c r="E293" s="888"/>
      <c r="F293" s="888"/>
      <c r="G293" s="888"/>
      <c r="H293" s="888"/>
      <c r="I293" s="888"/>
      <c r="J293" s="888"/>
      <c r="K293" s="888"/>
      <c r="L293" s="888"/>
      <c r="M293" s="888"/>
      <c r="N293" s="888"/>
      <c r="O293" s="888"/>
      <c r="P293" s="888"/>
      <c r="Q293" s="888"/>
      <c r="R293" s="888"/>
      <c r="S293" s="888"/>
      <c r="T293" s="889"/>
      <c r="U293" s="889"/>
      <c r="V293" s="888"/>
      <c r="W293" s="888"/>
      <c r="X293" s="888"/>
      <c r="Y293" s="888"/>
      <c r="Z293" s="888"/>
      <c r="AA293" s="888"/>
      <c r="AB293" s="888"/>
      <c r="AC293" s="888"/>
      <c r="AD293" s="888"/>
      <c r="AE293" s="888"/>
      <c r="AF293" s="808"/>
      <c r="AG293" s="806"/>
    </row>
    <row r="294" spans="1:33" s="26" customFormat="1" ht="24" customHeight="1">
      <c r="A294" s="18">
        <f>A291+1</f>
        <v>266</v>
      </c>
      <c r="B294" s="35" t="s">
        <v>136</v>
      </c>
      <c r="C294" s="725">
        <f>D294+F294+G294+H294+I294+K294+L294+M294+O294+P294+Q294+R294+S294+W294+V294+X294</f>
        <v>8010536.0199999996</v>
      </c>
      <c r="D294" s="9"/>
      <c r="E294" s="9"/>
      <c r="F294" s="725"/>
      <c r="G294" s="727"/>
      <c r="H294" s="201"/>
      <c r="I294" s="201"/>
      <c r="J294" s="87"/>
      <c r="K294" s="725"/>
      <c r="L294" s="727"/>
      <c r="M294" s="204"/>
      <c r="N294" s="22"/>
      <c r="O294" s="204"/>
      <c r="P294" s="3">
        <v>7910546.0199999996</v>
      </c>
      <c r="Q294" s="725"/>
      <c r="R294" s="87"/>
      <c r="S294" s="201"/>
      <c r="T294" s="732"/>
      <c r="U294" s="732"/>
      <c r="V294" s="3"/>
      <c r="W294" s="772">
        <v>99990</v>
      </c>
      <c r="X294" s="87"/>
      <c r="Y294" s="87"/>
      <c r="Z294" s="87"/>
      <c r="AA294" s="87"/>
      <c r="AB294" s="86">
        <f>C294</f>
        <v>8010536.0199999996</v>
      </c>
      <c r="AC294" s="21"/>
      <c r="AD294" s="18">
        <v>2023</v>
      </c>
      <c r="AE294" s="18">
        <v>2023</v>
      </c>
      <c r="AF294" s="25"/>
      <c r="AG294" s="91"/>
    </row>
    <row r="295" spans="1:33" s="26" customFormat="1" ht="24" customHeight="1">
      <c r="A295" s="18">
        <f>A294+1</f>
        <v>267</v>
      </c>
      <c r="B295" s="35" t="s">
        <v>1230</v>
      </c>
      <c r="C295" s="725">
        <f t="shared" ref="C295:C310" si="127">D295+F295+G295+H295+I295+K295+L295+M295+O295+P295+Q295+R295+S295+W295+V295+X295</f>
        <v>2439907.7599999998</v>
      </c>
      <c r="D295" s="9"/>
      <c r="E295" s="21"/>
      <c r="F295" s="87"/>
      <c r="G295" s="727"/>
      <c r="H295" s="87"/>
      <c r="I295" s="201"/>
      <c r="J295" s="87"/>
      <c r="K295" s="725"/>
      <c r="L295" s="772">
        <v>2403850.0099999998</v>
      </c>
      <c r="M295" s="204"/>
      <c r="N295" s="22"/>
      <c r="O295" s="204"/>
      <c r="P295" s="3"/>
      <c r="Q295" s="766"/>
      <c r="R295" s="87"/>
      <c r="S295" s="87"/>
      <c r="T295" s="124"/>
      <c r="U295" s="124"/>
      <c r="V295" s="3"/>
      <c r="W295" s="772">
        <v>36057.75</v>
      </c>
      <c r="X295" s="87"/>
      <c r="Y295" s="87"/>
      <c r="Z295" s="87"/>
      <c r="AA295" s="87"/>
      <c r="AB295" s="86">
        <f t="shared" ref="AB295:AB310" si="128">C295</f>
        <v>2439907.7599999998</v>
      </c>
      <c r="AC295" s="21"/>
      <c r="AD295" s="18">
        <v>2023</v>
      </c>
      <c r="AE295" s="18">
        <v>2023</v>
      </c>
      <c r="AF295" s="25"/>
      <c r="AG295" s="91"/>
    </row>
    <row r="296" spans="1:33" s="26" customFormat="1" ht="24" customHeight="1">
      <c r="A296" s="18">
        <f t="shared" ref="A296:A310" si="129">A295+1</f>
        <v>268</v>
      </c>
      <c r="B296" s="35" t="s">
        <v>137</v>
      </c>
      <c r="C296" s="725">
        <f t="shared" si="127"/>
        <v>31808485.510000002</v>
      </c>
      <c r="D296" s="9"/>
      <c r="E296" s="21"/>
      <c r="F296" s="87"/>
      <c r="G296" s="727"/>
      <c r="H296" s="201"/>
      <c r="I296" s="201"/>
      <c r="J296" s="87"/>
      <c r="K296" s="725"/>
      <c r="L296" s="727"/>
      <c r="M296" s="204"/>
      <c r="N296" s="22"/>
      <c r="O296" s="204"/>
      <c r="P296" s="3"/>
      <c r="Q296" s="766"/>
      <c r="R296" s="772">
        <v>31708495.510000002</v>
      </c>
      <c r="S296" s="725"/>
      <c r="T296" s="739"/>
      <c r="U296" s="739"/>
      <c r="V296" s="3"/>
      <c r="W296" s="772">
        <v>99990</v>
      </c>
      <c r="X296" s="87"/>
      <c r="Y296" s="87"/>
      <c r="Z296" s="87"/>
      <c r="AA296" s="87"/>
      <c r="AB296" s="86">
        <f t="shared" si="128"/>
        <v>31808485.510000002</v>
      </c>
      <c r="AC296" s="21"/>
      <c r="AD296" s="18">
        <v>2023</v>
      </c>
      <c r="AE296" s="18">
        <v>2023</v>
      </c>
      <c r="AF296" s="25"/>
      <c r="AG296" s="91"/>
    </row>
    <row r="297" spans="1:33" s="26" customFormat="1" ht="24" customHeight="1">
      <c r="A297" s="18">
        <f t="shared" si="129"/>
        <v>269</v>
      </c>
      <c r="B297" s="35" t="s">
        <v>138</v>
      </c>
      <c r="C297" s="725">
        <f t="shared" si="127"/>
        <v>29205453.710000001</v>
      </c>
      <c r="D297" s="9"/>
      <c r="E297" s="21"/>
      <c r="F297" s="87"/>
      <c r="G297" s="727"/>
      <c r="H297" s="727"/>
      <c r="I297" s="727"/>
      <c r="J297" s="727"/>
      <c r="K297" s="727"/>
      <c r="L297" s="727"/>
      <c r="M297" s="204"/>
      <c r="N297" s="22"/>
      <c r="O297" s="204"/>
      <c r="P297" s="725"/>
      <c r="Q297" s="725"/>
      <c r="R297" s="725">
        <v>29105463.710000001</v>
      </c>
      <c r="S297" s="725"/>
      <c r="T297" s="739"/>
      <c r="U297" s="739"/>
      <c r="V297" s="3"/>
      <c r="W297" s="772">
        <v>99990</v>
      </c>
      <c r="X297" s="87"/>
      <c r="Y297" s="87"/>
      <c r="Z297" s="87"/>
      <c r="AA297" s="87"/>
      <c r="AB297" s="86">
        <f t="shared" si="128"/>
        <v>29205453.710000001</v>
      </c>
      <c r="AC297" s="21"/>
      <c r="AD297" s="18">
        <v>2023</v>
      </c>
      <c r="AE297" s="18">
        <v>2023</v>
      </c>
      <c r="AF297" s="25"/>
      <c r="AG297" s="91"/>
    </row>
    <row r="298" spans="1:33" s="26" customFormat="1" ht="24" customHeight="1">
      <c r="A298" s="18">
        <f t="shared" si="129"/>
        <v>270</v>
      </c>
      <c r="B298" s="35" t="s">
        <v>139</v>
      </c>
      <c r="C298" s="725">
        <f t="shared" si="127"/>
        <v>37742997.130000003</v>
      </c>
      <c r="D298" s="9"/>
      <c r="E298" s="21"/>
      <c r="F298" s="87"/>
      <c r="G298" s="727"/>
      <c r="H298" s="201"/>
      <c r="I298" s="201"/>
      <c r="J298" s="87"/>
      <c r="K298" s="725"/>
      <c r="L298" s="727"/>
      <c r="M298" s="204"/>
      <c r="N298" s="22"/>
      <c r="O298" s="204"/>
      <c r="P298" s="727">
        <v>7695516.25</v>
      </c>
      <c r="Q298" s="727"/>
      <c r="R298" s="725">
        <v>29112650.23</v>
      </c>
      <c r="S298" s="725"/>
      <c r="T298" s="739"/>
      <c r="U298" s="739"/>
      <c r="V298" s="3">
        <v>801661.15</v>
      </c>
      <c r="W298" s="86">
        <v>133169.5</v>
      </c>
      <c r="X298" s="87"/>
      <c r="Y298" s="86">
        <v>18315950.890000001</v>
      </c>
      <c r="Z298" s="86">
        <v>2527126</v>
      </c>
      <c r="AA298" s="87"/>
      <c r="AB298" s="86">
        <v>16899920.239999998</v>
      </c>
      <c r="AC298" s="21"/>
      <c r="AD298" s="18">
        <v>2023</v>
      </c>
      <c r="AE298" s="18">
        <v>2023</v>
      </c>
      <c r="AF298" s="25"/>
      <c r="AG298" s="91"/>
    </row>
    <row r="299" spans="1:33" s="26" customFormat="1" ht="24" customHeight="1">
      <c r="A299" s="18">
        <f t="shared" si="129"/>
        <v>271</v>
      </c>
      <c r="B299" s="35" t="s">
        <v>140</v>
      </c>
      <c r="C299" s="725">
        <f t="shared" si="127"/>
        <v>11665353.84</v>
      </c>
      <c r="D299" s="9"/>
      <c r="E299" s="21"/>
      <c r="F299" s="725"/>
      <c r="G299" s="727"/>
      <c r="H299" s="201"/>
      <c r="I299" s="201"/>
      <c r="J299" s="87"/>
      <c r="K299" s="725"/>
      <c r="L299" s="727"/>
      <c r="M299" s="204"/>
      <c r="N299" s="22"/>
      <c r="O299" s="727"/>
      <c r="P299" s="774">
        <v>11565363.84</v>
      </c>
      <c r="Q299" s="727"/>
      <c r="R299" s="725"/>
      <c r="S299" s="725"/>
      <c r="T299" s="739"/>
      <c r="U299" s="739"/>
      <c r="V299" s="3"/>
      <c r="W299" s="772">
        <v>99990</v>
      </c>
      <c r="X299" s="87"/>
      <c r="Y299" s="87"/>
      <c r="Z299" s="87"/>
      <c r="AA299" s="87"/>
      <c r="AB299" s="86">
        <f t="shared" si="128"/>
        <v>11665353.84</v>
      </c>
      <c r="AC299" s="21"/>
      <c r="AD299" s="18">
        <v>2023</v>
      </c>
      <c r="AE299" s="18">
        <v>2023</v>
      </c>
      <c r="AF299" s="25"/>
      <c r="AG299" s="91"/>
    </row>
    <row r="300" spans="1:33" s="26" customFormat="1" ht="24" customHeight="1">
      <c r="A300" s="18">
        <f t="shared" si="129"/>
        <v>272</v>
      </c>
      <c r="B300" s="35" t="s">
        <v>141</v>
      </c>
      <c r="C300" s="725">
        <f t="shared" si="127"/>
        <v>1173499.8</v>
      </c>
      <c r="D300" s="9"/>
      <c r="E300" s="21">
        <v>1</v>
      </c>
      <c r="F300" s="772">
        <v>1156157.4399999999</v>
      </c>
      <c r="G300" s="727"/>
      <c r="H300" s="201"/>
      <c r="I300" s="201"/>
      <c r="J300" s="87"/>
      <c r="K300" s="725"/>
      <c r="L300" s="727"/>
      <c r="M300" s="204"/>
      <c r="N300" s="22"/>
      <c r="O300" s="204"/>
      <c r="P300" s="727"/>
      <c r="Q300" s="727"/>
      <c r="R300" s="725"/>
      <c r="S300" s="725"/>
      <c r="T300" s="739"/>
      <c r="U300" s="739"/>
      <c r="V300" s="3"/>
      <c r="W300" s="86">
        <f t="shared" ref="W300:W309" si="130">(D300+F300+G300+H300+I300+K300+L300+M300+O300+P300+Q300+R300+S300)*1.5%</f>
        <v>17342.36</v>
      </c>
      <c r="X300" s="87"/>
      <c r="Y300" s="87"/>
      <c r="Z300" s="87"/>
      <c r="AA300" s="87"/>
      <c r="AB300" s="86">
        <f t="shared" si="128"/>
        <v>1173499.8</v>
      </c>
      <c r="AC300" s="21"/>
      <c r="AD300" s="18">
        <v>2023</v>
      </c>
      <c r="AE300" s="18">
        <v>2023</v>
      </c>
      <c r="AF300" s="25"/>
      <c r="AG300" s="91"/>
    </row>
    <row r="301" spans="1:33" s="26" customFormat="1" ht="24" customHeight="1">
      <c r="A301" s="18">
        <f t="shared" si="129"/>
        <v>273</v>
      </c>
      <c r="B301" s="35" t="s">
        <v>142</v>
      </c>
      <c r="C301" s="725">
        <f t="shared" si="127"/>
        <v>4805346.53</v>
      </c>
      <c r="D301" s="9"/>
      <c r="E301" s="21"/>
      <c r="F301" s="725"/>
      <c r="G301" s="727"/>
      <c r="H301" s="201"/>
      <c r="I301" s="201"/>
      <c r="J301" s="87"/>
      <c r="K301" s="725"/>
      <c r="L301" s="727"/>
      <c r="M301" s="204"/>
      <c r="N301" s="22">
        <v>2</v>
      </c>
      <c r="O301" s="772">
        <v>4617458.5199999996</v>
      </c>
      <c r="P301" s="727"/>
      <c r="Q301" s="727"/>
      <c r="R301" s="725"/>
      <c r="S301" s="725"/>
      <c r="T301" s="739"/>
      <c r="U301" s="739"/>
      <c r="V301" s="772">
        <v>115436.46</v>
      </c>
      <c r="W301" s="772">
        <v>72451.55</v>
      </c>
      <c r="X301" s="87"/>
      <c r="Y301" s="87"/>
      <c r="Z301" s="87"/>
      <c r="AA301" s="87"/>
      <c r="AB301" s="86">
        <f t="shared" si="128"/>
        <v>4805346.53</v>
      </c>
      <c r="AC301" s="21"/>
      <c r="AD301" s="18">
        <v>2023</v>
      </c>
      <c r="AE301" s="18">
        <v>2023</v>
      </c>
      <c r="AF301" s="25"/>
      <c r="AG301" s="91"/>
    </row>
    <row r="302" spans="1:33" s="26" customFormat="1" ht="24" customHeight="1">
      <c r="A302" s="18">
        <f t="shared" si="129"/>
        <v>274</v>
      </c>
      <c r="B302" s="96" t="s">
        <v>143</v>
      </c>
      <c r="C302" s="725">
        <f t="shared" si="127"/>
        <v>2382923.06</v>
      </c>
      <c r="D302" s="9"/>
      <c r="E302" s="21">
        <v>2</v>
      </c>
      <c r="F302" s="773">
        <v>2347707.4500000002</v>
      </c>
      <c r="G302" s="727"/>
      <c r="H302" s="201"/>
      <c r="I302" s="201"/>
      <c r="J302" s="87"/>
      <c r="K302" s="725"/>
      <c r="L302" s="727"/>
      <c r="M302" s="204"/>
      <c r="N302" s="22"/>
      <c r="O302" s="204"/>
      <c r="P302" s="727"/>
      <c r="Q302" s="727"/>
      <c r="R302" s="725"/>
      <c r="S302" s="725"/>
      <c r="T302" s="739"/>
      <c r="U302" s="739"/>
      <c r="V302" s="3"/>
      <c r="W302" s="86">
        <f t="shared" si="130"/>
        <v>35215.61</v>
      </c>
      <c r="X302" s="87"/>
      <c r="Y302" s="87"/>
      <c r="Z302" s="87"/>
      <c r="AA302" s="87"/>
      <c r="AB302" s="86">
        <f t="shared" si="128"/>
        <v>2382923.06</v>
      </c>
      <c r="AC302" s="21"/>
      <c r="AD302" s="18">
        <v>2023</v>
      </c>
      <c r="AE302" s="18">
        <v>2023</v>
      </c>
      <c r="AF302" s="25"/>
      <c r="AG302" s="91"/>
    </row>
    <row r="303" spans="1:33" s="26" customFormat="1" ht="24" customHeight="1">
      <c r="A303" s="18">
        <f t="shared" si="129"/>
        <v>275</v>
      </c>
      <c r="B303" s="96" t="s">
        <v>397</v>
      </c>
      <c r="C303" s="725">
        <f t="shared" si="127"/>
        <v>9477941.1699999999</v>
      </c>
      <c r="D303" s="9"/>
      <c r="E303" s="72"/>
      <c r="F303" s="725"/>
      <c r="G303" s="727"/>
      <c r="H303" s="201"/>
      <c r="I303" s="201"/>
      <c r="J303" s="87"/>
      <c r="K303" s="725"/>
      <c r="L303" s="204"/>
      <c r="M303" s="204"/>
      <c r="N303" s="22">
        <v>3</v>
      </c>
      <c r="O303" s="101">
        <v>9113404.9800000004</v>
      </c>
      <c r="P303" s="87"/>
      <c r="Q303" s="725"/>
      <c r="R303" s="87"/>
      <c r="S303" s="201"/>
      <c r="T303" s="732"/>
      <c r="U303" s="732"/>
      <c r="V303" s="101">
        <v>227835.12</v>
      </c>
      <c r="W303" s="86">
        <f t="shared" si="130"/>
        <v>136701.07</v>
      </c>
      <c r="X303" s="87"/>
      <c r="Y303" s="87"/>
      <c r="Z303" s="87"/>
      <c r="AA303" s="87"/>
      <c r="AB303" s="86">
        <f t="shared" si="128"/>
        <v>9477941.1699999999</v>
      </c>
      <c r="AC303" s="21"/>
      <c r="AD303" s="18">
        <v>2023</v>
      </c>
      <c r="AE303" s="18">
        <v>2024</v>
      </c>
      <c r="AF303" s="25"/>
      <c r="AG303" s="91"/>
    </row>
    <row r="304" spans="1:33" s="26" customFormat="1" ht="24" customHeight="1">
      <c r="A304" s="18">
        <f t="shared" si="129"/>
        <v>276</v>
      </c>
      <c r="B304" s="96" t="s">
        <v>398</v>
      </c>
      <c r="C304" s="725">
        <f t="shared" si="127"/>
        <v>6318627.4500000002</v>
      </c>
      <c r="D304" s="9"/>
      <c r="E304" s="21"/>
      <c r="F304" s="725"/>
      <c r="G304" s="727"/>
      <c r="H304" s="201"/>
      <c r="I304" s="201"/>
      <c r="J304" s="87"/>
      <c r="K304" s="725"/>
      <c r="L304" s="727"/>
      <c r="M304" s="204"/>
      <c r="N304" s="22">
        <v>2</v>
      </c>
      <c r="O304" s="764">
        <v>6075603.3200000003</v>
      </c>
      <c r="P304" s="727"/>
      <c r="Q304" s="727"/>
      <c r="R304" s="725"/>
      <c r="S304" s="725"/>
      <c r="T304" s="739"/>
      <c r="U304" s="739"/>
      <c r="V304" s="3">
        <v>151890.07999999999</v>
      </c>
      <c r="W304" s="86">
        <f t="shared" si="130"/>
        <v>91134.05</v>
      </c>
      <c r="X304" s="87"/>
      <c r="Y304" s="87"/>
      <c r="Z304" s="87"/>
      <c r="AA304" s="87"/>
      <c r="AB304" s="86">
        <f t="shared" si="128"/>
        <v>6318627.4500000002</v>
      </c>
      <c r="AC304" s="21"/>
      <c r="AD304" s="18">
        <v>2023</v>
      </c>
      <c r="AE304" s="18">
        <v>2024</v>
      </c>
      <c r="AF304" s="25"/>
      <c r="AG304" s="91"/>
    </row>
    <row r="305" spans="1:33" s="26" customFormat="1" ht="24" customHeight="1">
      <c r="A305" s="18">
        <f t="shared" si="129"/>
        <v>277</v>
      </c>
      <c r="B305" s="96" t="s">
        <v>399</v>
      </c>
      <c r="C305" s="725">
        <f t="shared" si="127"/>
        <v>12363018.99</v>
      </c>
      <c r="D305" s="9"/>
      <c r="E305" s="21"/>
      <c r="F305" s="725"/>
      <c r="G305" s="727"/>
      <c r="H305" s="201"/>
      <c r="I305" s="201"/>
      <c r="J305" s="87"/>
      <c r="K305" s="725"/>
      <c r="L305" s="727"/>
      <c r="M305" s="204"/>
      <c r="N305" s="22"/>
      <c r="O305" s="204"/>
      <c r="P305" s="727"/>
      <c r="Q305" s="727"/>
      <c r="R305" s="725">
        <v>11555193.84</v>
      </c>
      <c r="S305" s="725"/>
      <c r="T305" s="739"/>
      <c r="U305" s="739"/>
      <c r="V305" s="3">
        <v>788663.27</v>
      </c>
      <c r="W305" s="86">
        <v>19161.88</v>
      </c>
      <c r="X305" s="87"/>
      <c r="Y305" s="86">
        <v>10864060.52</v>
      </c>
      <c r="Z305" s="86">
        <v>1498958.47</v>
      </c>
      <c r="AA305" s="87"/>
      <c r="AB305" s="86"/>
      <c r="AC305" s="21"/>
      <c r="AD305" s="18">
        <v>2023</v>
      </c>
      <c r="AE305" s="18">
        <v>2023</v>
      </c>
      <c r="AF305" s="25"/>
      <c r="AG305" s="91"/>
    </row>
    <row r="306" spans="1:33" s="26" customFormat="1" ht="24" customHeight="1">
      <c r="A306" s="18">
        <f t="shared" si="129"/>
        <v>278</v>
      </c>
      <c r="B306" s="96" t="s">
        <v>400</v>
      </c>
      <c r="C306" s="725">
        <f t="shared" si="127"/>
        <v>8052090.8300000001</v>
      </c>
      <c r="D306" s="9"/>
      <c r="E306" s="21"/>
      <c r="F306" s="725"/>
      <c r="G306" s="727"/>
      <c r="H306" s="201"/>
      <c r="I306" s="201"/>
      <c r="J306" s="87"/>
      <c r="K306" s="725"/>
      <c r="L306" s="727"/>
      <c r="M306" s="204"/>
      <c r="N306" s="22"/>
      <c r="O306" s="204"/>
      <c r="P306" s="727"/>
      <c r="Q306" s="727"/>
      <c r="R306" s="725">
        <v>6687161.9800000004</v>
      </c>
      <c r="S306" s="725"/>
      <c r="T306" s="739"/>
      <c r="U306" s="739"/>
      <c r="V306" s="3">
        <v>1353839.59</v>
      </c>
      <c r="W306" s="86">
        <v>11089.26</v>
      </c>
      <c r="X306" s="87"/>
      <c r="Y306" s="86">
        <v>7075812.3099999996</v>
      </c>
      <c r="Z306" s="86">
        <v>976278.52</v>
      </c>
      <c r="AA306" s="87"/>
      <c r="AB306" s="86"/>
      <c r="AC306" s="21"/>
      <c r="AD306" s="18">
        <v>2023</v>
      </c>
      <c r="AE306" s="18">
        <v>2023</v>
      </c>
      <c r="AF306" s="25"/>
      <c r="AG306" s="91"/>
    </row>
    <row r="307" spans="1:33" s="26" customFormat="1" ht="24" customHeight="1">
      <c r="A307" s="18">
        <f t="shared" si="129"/>
        <v>279</v>
      </c>
      <c r="B307" s="96" t="s">
        <v>401</v>
      </c>
      <c r="C307" s="725">
        <f t="shared" si="127"/>
        <v>34367057.289999999</v>
      </c>
      <c r="D307" s="9"/>
      <c r="E307" s="21"/>
      <c r="F307" s="725"/>
      <c r="G307" s="727"/>
      <c r="H307" s="201"/>
      <c r="I307" s="201"/>
      <c r="J307" s="87"/>
      <c r="K307" s="725"/>
      <c r="L307" s="727"/>
      <c r="M307" s="204"/>
      <c r="N307" s="22"/>
      <c r="O307" s="204"/>
      <c r="P307" s="727">
        <v>17321005.170000002</v>
      </c>
      <c r="Q307" s="727"/>
      <c r="R307" s="725">
        <v>16920536.460000001</v>
      </c>
      <c r="S307" s="725"/>
      <c r="T307" s="739"/>
      <c r="U307" s="739"/>
      <c r="V307" s="3"/>
      <c r="W307" s="86">
        <v>57032.58</v>
      </c>
      <c r="X307" s="86">
        <v>68483.08</v>
      </c>
      <c r="Y307" s="86">
        <v>30140031.829999998</v>
      </c>
      <c r="Z307" s="86">
        <v>4158542.38</v>
      </c>
      <c r="AA307" s="87"/>
      <c r="AB307" s="86">
        <v>68483.08</v>
      </c>
      <c r="AC307" s="21"/>
      <c r="AD307" s="18">
        <v>2023</v>
      </c>
      <c r="AE307" s="18">
        <v>2023</v>
      </c>
      <c r="AF307" s="25"/>
      <c r="AG307" s="91"/>
    </row>
    <row r="308" spans="1:33" s="26" customFormat="1" ht="24" customHeight="1">
      <c r="A308" s="18">
        <f t="shared" si="129"/>
        <v>280</v>
      </c>
      <c r="B308" s="35" t="s">
        <v>896</v>
      </c>
      <c r="C308" s="725">
        <f t="shared" si="127"/>
        <v>35545661.399999999</v>
      </c>
      <c r="D308" s="9"/>
      <c r="E308" s="21"/>
      <c r="F308" s="725"/>
      <c r="G308" s="727"/>
      <c r="H308" s="201"/>
      <c r="I308" s="201"/>
      <c r="J308" s="87"/>
      <c r="K308" s="725"/>
      <c r="L308" s="727"/>
      <c r="M308" s="204"/>
      <c r="N308" s="22"/>
      <c r="O308" s="204"/>
      <c r="P308" s="727"/>
      <c r="Q308" s="727"/>
      <c r="R308" s="772">
        <v>34342945.539999999</v>
      </c>
      <c r="S308" s="725"/>
      <c r="T308" s="739"/>
      <c r="U308" s="739"/>
      <c r="V308" s="772">
        <v>1102725.8600000001</v>
      </c>
      <c r="W308" s="772">
        <v>99990</v>
      </c>
      <c r="X308" s="87"/>
      <c r="Y308" s="87"/>
      <c r="Z308" s="87"/>
      <c r="AA308" s="87"/>
      <c r="AB308" s="86">
        <f t="shared" si="128"/>
        <v>35545661.399999999</v>
      </c>
      <c r="AC308" s="21"/>
      <c r="AD308" s="18">
        <v>2023</v>
      </c>
      <c r="AE308" s="18">
        <v>2023</v>
      </c>
      <c r="AF308" s="25"/>
      <c r="AG308" s="91"/>
    </row>
    <row r="309" spans="1:33" s="26" customFormat="1" ht="24" customHeight="1">
      <c r="A309" s="18">
        <f t="shared" si="129"/>
        <v>281</v>
      </c>
      <c r="B309" s="35" t="s">
        <v>402</v>
      </c>
      <c r="C309" s="725">
        <f t="shared" si="127"/>
        <v>3159313.72</v>
      </c>
      <c r="D309" s="9"/>
      <c r="E309" s="21"/>
      <c r="F309" s="725"/>
      <c r="G309" s="727"/>
      <c r="H309" s="201"/>
      <c r="I309" s="201"/>
      <c r="J309" s="87"/>
      <c r="K309" s="725"/>
      <c r="L309" s="727"/>
      <c r="M309" s="204"/>
      <c r="N309" s="22">
        <v>1</v>
      </c>
      <c r="O309" s="764">
        <v>3037801.66</v>
      </c>
      <c r="P309" s="727"/>
      <c r="Q309" s="727"/>
      <c r="R309" s="725"/>
      <c r="S309" s="725"/>
      <c r="T309" s="739"/>
      <c r="U309" s="739"/>
      <c r="V309" s="728">
        <v>75945.039999999994</v>
      </c>
      <c r="W309" s="86">
        <f t="shared" si="130"/>
        <v>45567.02</v>
      </c>
      <c r="X309" s="87"/>
      <c r="Y309" s="87"/>
      <c r="Z309" s="87"/>
      <c r="AA309" s="87"/>
      <c r="AB309" s="86">
        <f t="shared" si="128"/>
        <v>3159313.72</v>
      </c>
      <c r="AC309" s="21"/>
      <c r="AD309" s="18">
        <v>2023</v>
      </c>
      <c r="AE309" s="18">
        <v>2024</v>
      </c>
      <c r="AF309" s="25"/>
      <c r="AG309" s="91"/>
    </row>
    <row r="310" spans="1:33" s="26" customFormat="1" ht="24" customHeight="1">
      <c r="A310" s="18">
        <f t="shared" si="129"/>
        <v>282</v>
      </c>
      <c r="B310" s="96" t="s">
        <v>144</v>
      </c>
      <c r="C310" s="725">
        <f t="shared" si="127"/>
        <v>7489152.5599999996</v>
      </c>
      <c r="D310" s="9"/>
      <c r="E310" s="21"/>
      <c r="F310" s="87"/>
      <c r="G310" s="727"/>
      <c r="H310" s="201"/>
      <c r="I310" s="201"/>
      <c r="J310" s="87"/>
      <c r="K310" s="725"/>
      <c r="L310" s="727"/>
      <c r="M310" s="204"/>
      <c r="N310" s="22"/>
      <c r="O310" s="204"/>
      <c r="P310" s="727">
        <v>7389162.5599999996</v>
      </c>
      <c r="Q310" s="727"/>
      <c r="R310" s="725"/>
      <c r="S310" s="725"/>
      <c r="T310" s="739"/>
      <c r="U310" s="739"/>
      <c r="V310" s="3"/>
      <c r="W310" s="772">
        <v>99990</v>
      </c>
      <c r="X310" s="87"/>
      <c r="Y310" s="87"/>
      <c r="Z310" s="87"/>
      <c r="AA310" s="87"/>
      <c r="AB310" s="86">
        <f t="shared" si="128"/>
        <v>7489152.5599999996</v>
      </c>
      <c r="AC310" s="21"/>
      <c r="AD310" s="18">
        <v>2023</v>
      </c>
      <c r="AE310" s="18">
        <v>2023</v>
      </c>
      <c r="AF310" s="25"/>
      <c r="AG310" s="91"/>
    </row>
    <row r="311" spans="1:33" s="95" customFormat="1" ht="24" customHeight="1">
      <c r="A311" s="883" t="s">
        <v>42</v>
      </c>
      <c r="B311" s="883"/>
      <c r="C311" s="16">
        <f t="shared" ref="C311:AB311" si="131">SUM(C294:C310)</f>
        <v>246007366.77000001</v>
      </c>
      <c r="D311" s="6">
        <f t="shared" si="131"/>
        <v>0</v>
      </c>
      <c r="E311" s="52">
        <f t="shared" si="131"/>
        <v>3</v>
      </c>
      <c r="F311" s="6">
        <f t="shared" si="131"/>
        <v>3503864.89</v>
      </c>
      <c r="G311" s="6">
        <f t="shared" si="131"/>
        <v>0</v>
      </c>
      <c r="H311" s="6">
        <f t="shared" si="131"/>
        <v>0</v>
      </c>
      <c r="I311" s="6">
        <f t="shared" si="131"/>
        <v>0</v>
      </c>
      <c r="J311" s="6">
        <f t="shared" si="131"/>
        <v>0</v>
      </c>
      <c r="K311" s="6">
        <f t="shared" si="131"/>
        <v>0</v>
      </c>
      <c r="L311" s="6">
        <f t="shared" si="131"/>
        <v>2403850.0099999998</v>
      </c>
      <c r="M311" s="6">
        <f t="shared" si="131"/>
        <v>0</v>
      </c>
      <c r="N311" s="52">
        <f t="shared" si="131"/>
        <v>8</v>
      </c>
      <c r="O311" s="6">
        <f t="shared" si="131"/>
        <v>22844268.48</v>
      </c>
      <c r="P311" s="6">
        <f t="shared" si="131"/>
        <v>51881593.840000004</v>
      </c>
      <c r="Q311" s="6">
        <f t="shared" si="131"/>
        <v>0</v>
      </c>
      <c r="R311" s="6">
        <f t="shared" si="131"/>
        <v>159432447.27000001</v>
      </c>
      <c r="S311" s="6">
        <f t="shared" si="131"/>
        <v>0</v>
      </c>
      <c r="T311" s="140"/>
      <c r="U311" s="140"/>
      <c r="V311" s="6">
        <f t="shared" si="131"/>
        <v>4617996.57</v>
      </c>
      <c r="W311" s="70">
        <f t="shared" si="131"/>
        <v>1254862.6299999999</v>
      </c>
      <c r="X311" s="6">
        <f t="shared" si="131"/>
        <v>68483.08</v>
      </c>
      <c r="Y311" s="6">
        <f t="shared" si="131"/>
        <v>66395855.549999997</v>
      </c>
      <c r="Z311" s="6">
        <f t="shared" si="131"/>
        <v>9160905.3699999992</v>
      </c>
      <c r="AA311" s="6">
        <f t="shared" si="131"/>
        <v>0</v>
      </c>
      <c r="AB311" s="6">
        <f t="shared" si="131"/>
        <v>170450605.84999999</v>
      </c>
      <c r="AC311" s="798"/>
      <c r="AD311" s="798" t="s">
        <v>29</v>
      </c>
      <c r="AE311" s="798" t="s">
        <v>29</v>
      </c>
      <c r="AF311" s="94"/>
      <c r="AG311" s="145"/>
    </row>
    <row r="312" spans="1:33" ht="24" customHeight="1">
      <c r="A312" s="888" t="s">
        <v>367</v>
      </c>
      <c r="B312" s="888"/>
      <c r="C312" s="888"/>
      <c r="D312" s="888"/>
      <c r="E312" s="888"/>
      <c r="F312" s="888"/>
      <c r="G312" s="888"/>
      <c r="H312" s="888"/>
      <c r="I312" s="888"/>
      <c r="J312" s="888"/>
      <c r="K312" s="888"/>
      <c r="L312" s="888"/>
      <c r="M312" s="888"/>
      <c r="N312" s="888"/>
      <c r="O312" s="888"/>
      <c r="P312" s="888"/>
      <c r="Q312" s="888"/>
      <c r="R312" s="888"/>
      <c r="S312" s="888"/>
      <c r="T312" s="889"/>
      <c r="U312" s="889"/>
      <c r="V312" s="888"/>
      <c r="W312" s="888"/>
      <c r="X312" s="888"/>
      <c r="Y312" s="888"/>
      <c r="Z312" s="888"/>
      <c r="AA312" s="888"/>
      <c r="AB312" s="888"/>
      <c r="AC312" s="888"/>
      <c r="AD312" s="888"/>
      <c r="AE312" s="888"/>
      <c r="AF312" s="808"/>
      <c r="AG312" s="806"/>
    </row>
    <row r="313" spans="1:33" s="26" customFormat="1" ht="24" customHeight="1">
      <c r="A313" s="18">
        <f>A310+1</f>
        <v>283</v>
      </c>
      <c r="B313" s="53" t="s">
        <v>145</v>
      </c>
      <c r="C313" s="4">
        <f>D313+F313+G313+H313+I313+K313+L313+M313+O313+P313+Q313+R313+S313+W313+V313+X313</f>
        <v>1339410.51</v>
      </c>
      <c r="D313" s="9"/>
      <c r="E313" s="731">
        <v>1</v>
      </c>
      <c r="F313" s="725">
        <v>1197448.78</v>
      </c>
      <c r="G313" s="12"/>
      <c r="H313" s="13"/>
      <c r="I313" s="13"/>
      <c r="J313" s="21"/>
      <c r="K313" s="9"/>
      <c r="L313" s="12"/>
      <c r="M313" s="22"/>
      <c r="N313" s="22"/>
      <c r="O313" s="22"/>
      <c r="P313" s="3"/>
      <c r="Q313" s="9"/>
      <c r="R313" s="21"/>
      <c r="S313" s="13"/>
      <c r="T313" s="110"/>
      <c r="U313" s="110"/>
      <c r="V313" s="3">
        <v>124000</v>
      </c>
      <c r="W313" s="86">
        <f>(D313+F313+G313+H313+I313+K313+L313+M313+O313+P313+Q313+R313+S313)*1.5%</f>
        <v>17961.73</v>
      </c>
      <c r="X313" s="87"/>
      <c r="Y313" s="87"/>
      <c r="Z313" s="87"/>
      <c r="AA313" s="87"/>
      <c r="AB313" s="86">
        <f>C313</f>
        <v>1339410.51</v>
      </c>
      <c r="AC313" s="18"/>
      <c r="AD313" s="18">
        <v>2023</v>
      </c>
      <c r="AE313" s="18">
        <v>2023</v>
      </c>
      <c r="AF313" s="25"/>
      <c r="AG313" s="91"/>
    </row>
    <row r="314" spans="1:33" s="26" customFormat="1" ht="24" customHeight="1">
      <c r="A314" s="18">
        <f>A313+1</f>
        <v>284</v>
      </c>
      <c r="B314" s="54" t="s">
        <v>146</v>
      </c>
      <c r="C314" s="4">
        <f t="shared" ref="C314:C323" si="132">D314+F314+G314+H314+I314+K314+L314+M314+O314+P314+Q314+R314+S314+W314+V314+X314</f>
        <v>1339410.51</v>
      </c>
      <c r="D314" s="9"/>
      <c r="E314" s="87">
        <v>1</v>
      </c>
      <c r="F314" s="725">
        <v>1197448.78</v>
      </c>
      <c r="G314" s="12"/>
      <c r="H314" s="21"/>
      <c r="I314" s="13"/>
      <c r="J314" s="21"/>
      <c r="K314" s="9"/>
      <c r="L314" s="12"/>
      <c r="M314" s="22"/>
      <c r="N314" s="22"/>
      <c r="O314" s="22"/>
      <c r="P314" s="3"/>
      <c r="Q314" s="49"/>
      <c r="R314" s="21"/>
      <c r="S314" s="21"/>
      <c r="T314" s="107"/>
      <c r="U314" s="107"/>
      <c r="V314" s="3">
        <v>124000</v>
      </c>
      <c r="W314" s="86">
        <f t="shared" ref="W314:W323" si="133">(D314+F314+G314+H314+I314+K314+L314+M314+O314+P314+Q314+R314+S314)*1.5%</f>
        <v>17961.73</v>
      </c>
      <c r="X314" s="87"/>
      <c r="Y314" s="87"/>
      <c r="Z314" s="87"/>
      <c r="AA314" s="87"/>
      <c r="AB314" s="86">
        <f t="shared" ref="AB314:AB323" si="134">C314</f>
        <v>1339410.51</v>
      </c>
      <c r="AC314" s="18"/>
      <c r="AD314" s="18">
        <v>2023</v>
      </c>
      <c r="AE314" s="18">
        <v>2023</v>
      </c>
      <c r="AF314" s="25"/>
      <c r="AG314" s="91"/>
    </row>
    <row r="315" spans="1:33" s="26" customFormat="1" ht="24" customHeight="1">
      <c r="A315" s="18">
        <f t="shared" ref="A315:A323" si="135">A314+1</f>
        <v>285</v>
      </c>
      <c r="B315" s="53" t="s">
        <v>147</v>
      </c>
      <c r="C315" s="4">
        <f t="shared" si="132"/>
        <v>1339410.51</v>
      </c>
      <c r="D315" s="9"/>
      <c r="E315" s="731">
        <v>1</v>
      </c>
      <c r="F315" s="725">
        <v>1197448.78</v>
      </c>
      <c r="G315" s="12"/>
      <c r="H315" s="13"/>
      <c r="I315" s="13"/>
      <c r="J315" s="21"/>
      <c r="K315" s="9"/>
      <c r="L315" s="12"/>
      <c r="M315" s="22"/>
      <c r="N315" s="22"/>
      <c r="O315" s="22"/>
      <c r="P315" s="3"/>
      <c r="Q315" s="49"/>
      <c r="R315" s="9"/>
      <c r="S315" s="9"/>
      <c r="T315" s="108"/>
      <c r="U315" s="108"/>
      <c r="V315" s="3">
        <v>124000</v>
      </c>
      <c r="W315" s="86">
        <f t="shared" si="133"/>
        <v>17961.73</v>
      </c>
      <c r="X315" s="87"/>
      <c r="Y315" s="87"/>
      <c r="Z315" s="87"/>
      <c r="AA315" s="87"/>
      <c r="AB315" s="86">
        <f t="shared" si="134"/>
        <v>1339410.51</v>
      </c>
      <c r="AC315" s="18"/>
      <c r="AD315" s="18">
        <v>2023</v>
      </c>
      <c r="AE315" s="18">
        <v>2023</v>
      </c>
      <c r="AF315" s="25"/>
      <c r="AG315" s="91"/>
    </row>
    <row r="316" spans="1:33" s="26" customFormat="1" ht="24" customHeight="1">
      <c r="A316" s="18">
        <f t="shared" si="135"/>
        <v>286</v>
      </c>
      <c r="B316" s="53" t="s">
        <v>148</v>
      </c>
      <c r="C316" s="4">
        <f t="shared" si="132"/>
        <v>1339410.51</v>
      </c>
      <c r="D316" s="9"/>
      <c r="E316" s="87">
        <v>1</v>
      </c>
      <c r="F316" s="725">
        <v>1197448.78</v>
      </c>
      <c r="G316" s="12"/>
      <c r="H316" s="12"/>
      <c r="I316" s="12"/>
      <c r="J316" s="12"/>
      <c r="K316" s="12"/>
      <c r="L316" s="12"/>
      <c r="M316" s="22"/>
      <c r="N316" s="22"/>
      <c r="O316" s="22"/>
      <c r="P316" s="9"/>
      <c r="Q316" s="9"/>
      <c r="R316" s="9"/>
      <c r="S316" s="9"/>
      <c r="T316" s="108"/>
      <c r="U316" s="108"/>
      <c r="V316" s="3">
        <v>124000</v>
      </c>
      <c r="W316" s="86">
        <f t="shared" si="133"/>
        <v>17961.73</v>
      </c>
      <c r="X316" s="87"/>
      <c r="Y316" s="87"/>
      <c r="Z316" s="87"/>
      <c r="AA316" s="87"/>
      <c r="AB316" s="86">
        <f t="shared" si="134"/>
        <v>1339410.51</v>
      </c>
      <c r="AC316" s="18"/>
      <c r="AD316" s="18">
        <v>2023</v>
      </c>
      <c r="AE316" s="18">
        <v>2023</v>
      </c>
      <c r="AF316" s="25"/>
      <c r="AG316" s="91"/>
    </row>
    <row r="317" spans="1:33" s="26" customFormat="1" ht="24" customHeight="1">
      <c r="A317" s="18">
        <f t="shared" si="135"/>
        <v>287</v>
      </c>
      <c r="B317" s="53" t="s">
        <v>149</v>
      </c>
      <c r="C317" s="4">
        <f t="shared" si="132"/>
        <v>1339410.51</v>
      </c>
      <c r="D317" s="9"/>
      <c r="E317" s="731">
        <v>1</v>
      </c>
      <c r="F317" s="725">
        <v>1197448.78</v>
      </c>
      <c r="G317" s="12"/>
      <c r="H317" s="13"/>
      <c r="I317" s="13"/>
      <c r="J317" s="21"/>
      <c r="K317" s="9"/>
      <c r="L317" s="12"/>
      <c r="M317" s="22"/>
      <c r="N317" s="22"/>
      <c r="O317" s="22"/>
      <c r="P317" s="12"/>
      <c r="Q317" s="12"/>
      <c r="R317" s="9"/>
      <c r="S317" s="9"/>
      <c r="T317" s="108"/>
      <c r="U317" s="108"/>
      <c r="V317" s="3">
        <v>124000</v>
      </c>
      <c r="W317" s="86">
        <f t="shared" si="133"/>
        <v>17961.73</v>
      </c>
      <c r="X317" s="87"/>
      <c r="Y317" s="87"/>
      <c r="Z317" s="87"/>
      <c r="AA317" s="87"/>
      <c r="AB317" s="86">
        <f t="shared" si="134"/>
        <v>1339410.51</v>
      </c>
      <c r="AC317" s="18"/>
      <c r="AD317" s="18">
        <v>2023</v>
      </c>
      <c r="AE317" s="18">
        <v>2023</v>
      </c>
      <c r="AF317" s="25"/>
      <c r="AG317" s="91"/>
    </row>
    <row r="318" spans="1:33" s="26" customFormat="1" ht="24" customHeight="1">
      <c r="A318" s="18">
        <f t="shared" si="135"/>
        <v>288</v>
      </c>
      <c r="B318" s="35" t="s">
        <v>1231</v>
      </c>
      <c r="C318" s="4">
        <f t="shared" si="132"/>
        <v>1339410.51</v>
      </c>
      <c r="D318" s="9"/>
      <c r="E318" s="87">
        <v>1</v>
      </c>
      <c r="F318" s="725">
        <v>1197448.78</v>
      </c>
      <c r="G318" s="12"/>
      <c r="H318" s="13"/>
      <c r="I318" s="13"/>
      <c r="J318" s="21"/>
      <c r="K318" s="9"/>
      <c r="L318" s="12"/>
      <c r="M318" s="22"/>
      <c r="N318" s="807"/>
      <c r="O318" s="12"/>
      <c r="P318" s="12"/>
      <c r="Q318" s="12"/>
      <c r="R318" s="9"/>
      <c r="S318" s="9"/>
      <c r="T318" s="108"/>
      <c r="U318" s="108"/>
      <c r="V318" s="3">
        <v>124000</v>
      </c>
      <c r="W318" s="86">
        <f t="shared" si="133"/>
        <v>17961.73</v>
      </c>
      <c r="X318" s="87"/>
      <c r="Y318" s="87"/>
      <c r="Z318" s="87"/>
      <c r="AA318" s="87"/>
      <c r="AB318" s="86">
        <f t="shared" si="134"/>
        <v>1339410.51</v>
      </c>
      <c r="AC318" s="18"/>
      <c r="AD318" s="18">
        <v>2023</v>
      </c>
      <c r="AE318" s="18">
        <v>2023</v>
      </c>
      <c r="AF318" s="25"/>
      <c r="AG318" s="91"/>
    </row>
    <row r="319" spans="1:33" s="26" customFormat="1" ht="24" customHeight="1">
      <c r="A319" s="18">
        <f t="shared" si="135"/>
        <v>289</v>
      </c>
      <c r="B319" s="54" t="s">
        <v>150</v>
      </c>
      <c r="C319" s="4">
        <f t="shared" si="132"/>
        <v>1339410.51</v>
      </c>
      <c r="D319" s="9"/>
      <c r="E319" s="731">
        <v>1</v>
      </c>
      <c r="F319" s="725">
        <v>1197448.78</v>
      </c>
      <c r="G319" s="12"/>
      <c r="H319" s="13"/>
      <c r="I319" s="13"/>
      <c r="J319" s="21"/>
      <c r="K319" s="9"/>
      <c r="L319" s="12"/>
      <c r="M319" s="22"/>
      <c r="N319" s="22"/>
      <c r="O319" s="22"/>
      <c r="P319" s="12"/>
      <c r="Q319" s="12"/>
      <c r="R319" s="9"/>
      <c r="S319" s="9"/>
      <c r="T319" s="108"/>
      <c r="U319" s="108"/>
      <c r="V319" s="3">
        <v>124000</v>
      </c>
      <c r="W319" s="86">
        <f t="shared" si="133"/>
        <v>17961.73</v>
      </c>
      <c r="X319" s="87"/>
      <c r="Y319" s="87"/>
      <c r="Z319" s="87"/>
      <c r="AA319" s="87"/>
      <c r="AB319" s="86">
        <f t="shared" si="134"/>
        <v>1339410.51</v>
      </c>
      <c r="AC319" s="18"/>
      <c r="AD319" s="18">
        <v>2023</v>
      </c>
      <c r="AE319" s="18">
        <v>2023</v>
      </c>
      <c r="AF319" s="25"/>
      <c r="AG319" s="91"/>
    </row>
    <row r="320" spans="1:33" s="26" customFormat="1" ht="24" customHeight="1">
      <c r="A320" s="18">
        <f t="shared" si="135"/>
        <v>290</v>
      </c>
      <c r="B320" s="54" t="s">
        <v>151</v>
      </c>
      <c r="C320" s="4">
        <f t="shared" si="132"/>
        <v>1339410.51</v>
      </c>
      <c r="D320" s="9"/>
      <c r="E320" s="87">
        <v>1</v>
      </c>
      <c r="F320" s="725">
        <v>1197448.78</v>
      </c>
      <c r="G320" s="12"/>
      <c r="H320" s="13"/>
      <c r="I320" s="13"/>
      <c r="J320" s="21"/>
      <c r="K320" s="9"/>
      <c r="L320" s="12"/>
      <c r="M320" s="22"/>
      <c r="N320" s="807"/>
      <c r="O320" s="12"/>
      <c r="P320" s="12"/>
      <c r="Q320" s="12"/>
      <c r="R320" s="9"/>
      <c r="S320" s="9"/>
      <c r="T320" s="108"/>
      <c r="U320" s="108"/>
      <c r="V320" s="3">
        <v>124000</v>
      </c>
      <c r="W320" s="86">
        <f t="shared" si="133"/>
        <v>17961.73</v>
      </c>
      <c r="X320" s="87"/>
      <c r="Y320" s="87"/>
      <c r="Z320" s="87"/>
      <c r="AA320" s="87"/>
      <c r="AB320" s="86">
        <f t="shared" si="134"/>
        <v>1339410.51</v>
      </c>
      <c r="AC320" s="18"/>
      <c r="AD320" s="18">
        <v>2023</v>
      </c>
      <c r="AE320" s="18">
        <v>2023</v>
      </c>
      <c r="AF320" s="25"/>
      <c r="AG320" s="91"/>
    </row>
    <row r="321" spans="1:33" s="26" customFormat="1" ht="24" customHeight="1">
      <c r="A321" s="18">
        <f t="shared" si="135"/>
        <v>291</v>
      </c>
      <c r="B321" s="35" t="s">
        <v>152</v>
      </c>
      <c r="C321" s="4">
        <f t="shared" si="132"/>
        <v>1339410.51</v>
      </c>
      <c r="D321" s="9"/>
      <c r="E321" s="731">
        <v>1</v>
      </c>
      <c r="F321" s="725">
        <v>1197448.78</v>
      </c>
      <c r="G321" s="12"/>
      <c r="H321" s="13"/>
      <c r="I321" s="13"/>
      <c r="J321" s="21"/>
      <c r="K321" s="9"/>
      <c r="L321" s="12"/>
      <c r="M321" s="22"/>
      <c r="N321" s="22"/>
      <c r="O321" s="22"/>
      <c r="P321" s="12"/>
      <c r="Q321" s="12"/>
      <c r="R321" s="9"/>
      <c r="S321" s="9"/>
      <c r="T321" s="108"/>
      <c r="U321" s="108"/>
      <c r="V321" s="3">
        <v>124000</v>
      </c>
      <c r="W321" s="86">
        <f t="shared" si="133"/>
        <v>17961.73</v>
      </c>
      <c r="X321" s="87"/>
      <c r="Y321" s="87"/>
      <c r="Z321" s="87"/>
      <c r="AA321" s="87"/>
      <c r="AB321" s="86">
        <f t="shared" si="134"/>
        <v>1339410.51</v>
      </c>
      <c r="AC321" s="18"/>
      <c r="AD321" s="18">
        <v>2023</v>
      </c>
      <c r="AE321" s="18">
        <v>2023</v>
      </c>
      <c r="AF321" s="25"/>
      <c r="AG321" s="91"/>
    </row>
    <row r="322" spans="1:33" s="26" customFormat="1" ht="24" customHeight="1">
      <c r="A322" s="18">
        <f t="shared" si="135"/>
        <v>292</v>
      </c>
      <c r="B322" s="54" t="s">
        <v>153</v>
      </c>
      <c r="C322" s="4">
        <f t="shared" si="132"/>
        <v>1339410.51</v>
      </c>
      <c r="D322" s="9"/>
      <c r="E322" s="87">
        <v>1</v>
      </c>
      <c r="F322" s="9">
        <v>1197448.78</v>
      </c>
      <c r="G322" s="12"/>
      <c r="H322" s="13"/>
      <c r="I322" s="13"/>
      <c r="J322" s="21"/>
      <c r="K322" s="9"/>
      <c r="L322" s="12"/>
      <c r="M322" s="22"/>
      <c r="N322" s="22"/>
      <c r="O322" s="22"/>
      <c r="P322" s="12"/>
      <c r="Q322" s="12"/>
      <c r="R322" s="9"/>
      <c r="S322" s="9"/>
      <c r="T322" s="108"/>
      <c r="U322" s="108"/>
      <c r="V322" s="3">
        <v>124000</v>
      </c>
      <c r="W322" s="86">
        <f t="shared" si="133"/>
        <v>17961.73</v>
      </c>
      <c r="X322" s="87"/>
      <c r="Y322" s="87"/>
      <c r="Z322" s="87"/>
      <c r="AA322" s="87"/>
      <c r="AB322" s="86">
        <f t="shared" si="134"/>
        <v>1339410.51</v>
      </c>
      <c r="AC322" s="18"/>
      <c r="AD322" s="18">
        <v>2023</v>
      </c>
      <c r="AE322" s="18">
        <v>2023</v>
      </c>
      <c r="AF322" s="25"/>
      <c r="AG322" s="91"/>
    </row>
    <row r="323" spans="1:33" s="26" customFormat="1" ht="24" customHeight="1">
      <c r="A323" s="18">
        <f t="shared" si="135"/>
        <v>293</v>
      </c>
      <c r="B323" s="54" t="s">
        <v>386</v>
      </c>
      <c r="C323" s="4">
        <f t="shared" si="132"/>
        <v>12723153.130000001</v>
      </c>
      <c r="D323" s="9"/>
      <c r="E323" s="18"/>
      <c r="F323" s="9"/>
      <c r="G323" s="12"/>
      <c r="H323" s="13"/>
      <c r="I323" s="13"/>
      <c r="J323" s="21"/>
      <c r="K323" s="9"/>
      <c r="L323" s="12"/>
      <c r="M323" s="22"/>
      <c r="N323" s="22"/>
      <c r="O323" s="22"/>
      <c r="P323" s="727">
        <v>11808263.18</v>
      </c>
      <c r="Q323" s="12"/>
      <c r="R323" s="9"/>
      <c r="S323" s="9"/>
      <c r="T323" s="108"/>
      <c r="U323" s="108"/>
      <c r="V323" s="775">
        <v>737766</v>
      </c>
      <c r="W323" s="86">
        <f t="shared" si="133"/>
        <v>177123.95</v>
      </c>
      <c r="X323" s="87"/>
      <c r="Y323" s="87"/>
      <c r="Z323" s="87"/>
      <c r="AA323" s="87"/>
      <c r="AB323" s="86">
        <f t="shared" si="134"/>
        <v>12723153.130000001</v>
      </c>
      <c r="AC323" s="18"/>
      <c r="AD323" s="90">
        <v>2023</v>
      </c>
      <c r="AE323" s="90">
        <v>2023</v>
      </c>
      <c r="AF323" s="25"/>
      <c r="AG323" s="91"/>
    </row>
    <row r="324" spans="1:33" s="148" customFormat="1" ht="24" customHeight="1">
      <c r="A324" s="883" t="s">
        <v>42</v>
      </c>
      <c r="B324" s="883"/>
      <c r="C324" s="16">
        <f>SUM(C313:C323)</f>
        <v>26117258.23</v>
      </c>
      <c r="D324" s="6">
        <f t="shared" ref="D324:AA324" si="136">SUM(D313:D322)</f>
        <v>0</v>
      </c>
      <c r="E324" s="52">
        <f t="shared" si="136"/>
        <v>10</v>
      </c>
      <c r="F324" s="6">
        <f>SUM(F313:F323)</f>
        <v>11974487.800000001</v>
      </c>
      <c r="G324" s="6">
        <f>SUM(G313:G323)</f>
        <v>0</v>
      </c>
      <c r="H324" s="6">
        <f>SUM(H313:H323)</f>
        <v>0</v>
      </c>
      <c r="I324" s="6">
        <f t="shared" ref="I324:O324" si="137">SUM(I313:I323)</f>
        <v>0</v>
      </c>
      <c r="J324" s="6">
        <f t="shared" si="137"/>
        <v>0</v>
      </c>
      <c r="K324" s="6">
        <f t="shared" si="137"/>
        <v>0</v>
      </c>
      <c r="L324" s="6">
        <f t="shared" si="137"/>
        <v>0</v>
      </c>
      <c r="M324" s="6">
        <f t="shared" si="137"/>
        <v>0</v>
      </c>
      <c r="N324" s="6">
        <f t="shared" si="137"/>
        <v>0</v>
      </c>
      <c r="O324" s="6">
        <f t="shared" si="137"/>
        <v>0</v>
      </c>
      <c r="P324" s="6">
        <f>SUM(P313:P323)</f>
        <v>11808263.18</v>
      </c>
      <c r="Q324" s="6">
        <f t="shared" ref="Q324:S324" si="138">SUM(Q313:Q323)</f>
        <v>0</v>
      </c>
      <c r="R324" s="6">
        <f t="shared" si="138"/>
        <v>0</v>
      </c>
      <c r="S324" s="6">
        <f t="shared" si="138"/>
        <v>0</v>
      </c>
      <c r="T324" s="140"/>
      <c r="U324" s="140"/>
      <c r="V324" s="6">
        <f>SUM(V313:V323)</f>
        <v>1977766</v>
      </c>
      <c r="W324" s="6">
        <f>SUM(W313:W323)</f>
        <v>356741.25</v>
      </c>
      <c r="X324" s="6">
        <f t="shared" si="136"/>
        <v>0</v>
      </c>
      <c r="Y324" s="6">
        <f t="shared" si="136"/>
        <v>0</v>
      </c>
      <c r="Z324" s="6">
        <f t="shared" si="136"/>
        <v>0</v>
      </c>
      <c r="AA324" s="6">
        <f t="shared" si="136"/>
        <v>0</v>
      </c>
      <c r="AB324" s="6">
        <f>SUM(AB313:AB323)</f>
        <v>26117258.23</v>
      </c>
      <c r="AC324" s="798"/>
      <c r="AD324" s="798" t="s">
        <v>29</v>
      </c>
      <c r="AE324" s="798" t="s">
        <v>29</v>
      </c>
      <c r="AF324" s="146"/>
      <c r="AG324" s="147"/>
    </row>
    <row r="325" spans="1:33" ht="24" customHeight="1">
      <c r="A325" s="888" t="s">
        <v>371</v>
      </c>
      <c r="B325" s="888"/>
      <c r="C325" s="888"/>
      <c r="D325" s="888"/>
      <c r="E325" s="888"/>
      <c r="F325" s="888"/>
      <c r="G325" s="888"/>
      <c r="H325" s="888"/>
      <c r="I325" s="888"/>
      <c r="J325" s="888"/>
      <c r="K325" s="888"/>
      <c r="L325" s="888"/>
      <c r="M325" s="888"/>
      <c r="N325" s="888"/>
      <c r="O325" s="888"/>
      <c r="P325" s="888"/>
      <c r="Q325" s="888"/>
      <c r="R325" s="888"/>
      <c r="S325" s="888"/>
      <c r="T325" s="889"/>
      <c r="U325" s="889"/>
      <c r="V325" s="888"/>
      <c r="W325" s="888"/>
      <c r="X325" s="888"/>
      <c r="Y325" s="888"/>
      <c r="Z325" s="888"/>
      <c r="AA325" s="888"/>
      <c r="AB325" s="888"/>
      <c r="AC325" s="888"/>
      <c r="AD325" s="888"/>
      <c r="AE325" s="888"/>
      <c r="AF325" s="808"/>
      <c r="AG325" s="806"/>
    </row>
    <row r="326" spans="1:33" s="26" customFormat="1" ht="24" customHeight="1">
      <c r="A326" s="18">
        <f>A323+1</f>
        <v>294</v>
      </c>
      <c r="B326" s="20" t="s">
        <v>154</v>
      </c>
      <c r="C326" s="4">
        <f t="shared" ref="C326:C338" si="139">D326+F326+G326+H326+I326+K326+L326+M326+O326+P326+Q326+R326+S326+W326+V326+X326</f>
        <v>6075603.3200000003</v>
      </c>
      <c r="D326" s="9"/>
      <c r="E326" s="18"/>
      <c r="F326" s="9"/>
      <c r="G326" s="12"/>
      <c r="H326" s="21"/>
      <c r="I326" s="13"/>
      <c r="J326" s="21"/>
      <c r="K326" s="9"/>
      <c r="L326" s="12"/>
      <c r="M326" s="22"/>
      <c r="N326" s="204">
        <v>2</v>
      </c>
      <c r="O326" s="776">
        <f>(2*3037801.66-V326)/101.5*100</f>
        <v>5836170.6799999997</v>
      </c>
      <c r="P326" s="3"/>
      <c r="Q326" s="766"/>
      <c r="R326" s="87"/>
      <c r="S326" s="87"/>
      <c r="T326" s="124"/>
      <c r="U326" s="124"/>
      <c r="V326" s="3">
        <v>151890.07999999999</v>
      </c>
      <c r="W326" s="777">
        <f>O326*1.5/100</f>
        <v>87542.56</v>
      </c>
      <c r="X326" s="87"/>
      <c r="Y326" s="87"/>
      <c r="Z326" s="87"/>
      <c r="AA326" s="87"/>
      <c r="AB326" s="86">
        <f t="shared" ref="AB326:AB338" si="140">C326</f>
        <v>6075603.3200000003</v>
      </c>
      <c r="AC326" s="18"/>
      <c r="AD326" s="18">
        <v>2023</v>
      </c>
      <c r="AE326" s="18">
        <v>2023</v>
      </c>
      <c r="AF326" s="91"/>
      <c r="AG326" s="91"/>
    </row>
    <row r="327" spans="1:33" s="26" customFormat="1" ht="24" customHeight="1">
      <c r="A327" s="18">
        <f t="shared" ref="A327:A338" si="141">A326+1</f>
        <v>295</v>
      </c>
      <c r="B327" s="20" t="s">
        <v>155</v>
      </c>
      <c r="C327" s="4">
        <f t="shared" si="139"/>
        <v>2855540.15</v>
      </c>
      <c r="D327" s="9"/>
      <c r="E327" s="36"/>
      <c r="F327" s="9"/>
      <c r="G327" s="12"/>
      <c r="H327" s="13"/>
      <c r="I327" s="13"/>
      <c r="J327" s="21"/>
      <c r="K327" s="9"/>
      <c r="L327" s="12"/>
      <c r="M327" s="22"/>
      <c r="N327" s="204">
        <v>1</v>
      </c>
      <c r="O327" s="776">
        <f>(1*2855540.15-V327)/101.5*100</f>
        <v>2738517.35</v>
      </c>
      <c r="P327" s="3"/>
      <c r="Q327" s="766"/>
      <c r="R327" s="725"/>
      <c r="S327" s="725"/>
      <c r="T327" s="739"/>
      <c r="U327" s="739"/>
      <c r="V327" s="3">
        <v>75945.039999999994</v>
      </c>
      <c r="W327" s="777">
        <f t="shared" ref="W327:W330" si="142">O327*1.5/100</f>
        <v>41077.760000000002</v>
      </c>
      <c r="X327" s="87"/>
      <c r="Y327" s="87"/>
      <c r="Z327" s="87"/>
      <c r="AA327" s="87"/>
      <c r="AB327" s="86">
        <f t="shared" si="140"/>
        <v>2855540.15</v>
      </c>
      <c r="AC327" s="18"/>
      <c r="AD327" s="18">
        <v>2023</v>
      </c>
      <c r="AE327" s="18">
        <v>2023</v>
      </c>
      <c r="AF327" s="91"/>
      <c r="AG327" s="91"/>
    </row>
    <row r="328" spans="1:33" s="26" customFormat="1" ht="24" customHeight="1">
      <c r="A328" s="18">
        <f t="shared" si="141"/>
        <v>296</v>
      </c>
      <c r="B328" s="20" t="s">
        <v>1232</v>
      </c>
      <c r="C328" s="4">
        <f t="shared" si="139"/>
        <v>3037801.66</v>
      </c>
      <c r="D328" s="9"/>
      <c r="E328" s="18"/>
      <c r="F328" s="9"/>
      <c r="G328" s="12"/>
      <c r="H328" s="12"/>
      <c r="I328" s="12"/>
      <c r="J328" s="12"/>
      <c r="K328" s="12"/>
      <c r="L328" s="12"/>
      <c r="M328" s="22"/>
      <c r="N328" s="204">
        <v>1</v>
      </c>
      <c r="O328" s="776">
        <f>(1*3037801.66-V328)/101.5*100</f>
        <v>2918085.34</v>
      </c>
      <c r="P328" s="725"/>
      <c r="Q328" s="725"/>
      <c r="R328" s="725"/>
      <c r="S328" s="725"/>
      <c r="T328" s="739"/>
      <c r="U328" s="739"/>
      <c r="V328" s="3">
        <v>75945.039999999994</v>
      </c>
      <c r="W328" s="777">
        <f t="shared" si="142"/>
        <v>43771.28</v>
      </c>
      <c r="X328" s="87"/>
      <c r="Y328" s="87"/>
      <c r="Z328" s="87"/>
      <c r="AA328" s="87"/>
      <c r="AB328" s="86">
        <f t="shared" si="140"/>
        <v>3037801.66</v>
      </c>
      <c r="AC328" s="18"/>
      <c r="AD328" s="18">
        <v>2023</v>
      </c>
      <c r="AE328" s="18">
        <v>2023</v>
      </c>
      <c r="AF328" s="25"/>
      <c r="AG328" s="91"/>
    </row>
    <row r="329" spans="1:33" s="26" customFormat="1" ht="24" customHeight="1">
      <c r="A329" s="18">
        <f t="shared" si="141"/>
        <v>297</v>
      </c>
      <c r="B329" s="20" t="s">
        <v>156</v>
      </c>
      <c r="C329" s="4">
        <f t="shared" si="139"/>
        <v>3037801.66</v>
      </c>
      <c r="D329" s="9"/>
      <c r="E329" s="36"/>
      <c r="F329" s="9"/>
      <c r="G329" s="12"/>
      <c r="H329" s="13"/>
      <c r="I329" s="13"/>
      <c r="J329" s="21"/>
      <c r="K329" s="9"/>
      <c r="L329" s="12"/>
      <c r="M329" s="22"/>
      <c r="N329" s="204">
        <v>1</v>
      </c>
      <c r="O329" s="776">
        <f>(1*3037801.66-V329)/101.5*100</f>
        <v>2918085.34</v>
      </c>
      <c r="P329" s="727"/>
      <c r="Q329" s="727"/>
      <c r="R329" s="725"/>
      <c r="S329" s="725"/>
      <c r="T329" s="739"/>
      <c r="U329" s="739"/>
      <c r="V329" s="3">
        <v>75945.039999999994</v>
      </c>
      <c r="W329" s="777">
        <f t="shared" si="142"/>
        <v>43771.28</v>
      </c>
      <c r="X329" s="87"/>
      <c r="Y329" s="87"/>
      <c r="Z329" s="87"/>
      <c r="AA329" s="87"/>
      <c r="AB329" s="86">
        <f t="shared" si="140"/>
        <v>3037801.66</v>
      </c>
      <c r="AC329" s="18"/>
      <c r="AD329" s="18">
        <v>2023</v>
      </c>
      <c r="AE329" s="18">
        <v>2023</v>
      </c>
      <c r="AF329" s="25"/>
      <c r="AG329" s="91"/>
    </row>
    <row r="330" spans="1:33" s="26" customFormat="1" ht="24" customHeight="1">
      <c r="A330" s="18">
        <f t="shared" si="141"/>
        <v>298</v>
      </c>
      <c r="B330" s="20" t="s">
        <v>1233</v>
      </c>
      <c r="C330" s="4">
        <f t="shared" si="139"/>
        <v>2855540.15</v>
      </c>
      <c r="D330" s="9"/>
      <c r="E330" s="18"/>
      <c r="F330" s="9"/>
      <c r="G330" s="12"/>
      <c r="H330" s="13"/>
      <c r="I330" s="13"/>
      <c r="J330" s="21"/>
      <c r="K330" s="9"/>
      <c r="L330" s="12"/>
      <c r="M330" s="22"/>
      <c r="N330" s="204">
        <v>1</v>
      </c>
      <c r="O330" s="776">
        <f>(1*2855540.15-V330)/101.5*100</f>
        <v>2738517.35</v>
      </c>
      <c r="P330" s="727"/>
      <c r="Q330" s="727"/>
      <c r="R330" s="725"/>
      <c r="S330" s="725"/>
      <c r="T330" s="739"/>
      <c r="U330" s="739"/>
      <c r="V330" s="3">
        <v>75945.039999999994</v>
      </c>
      <c r="W330" s="777">
        <f t="shared" si="142"/>
        <v>41077.760000000002</v>
      </c>
      <c r="X330" s="87"/>
      <c r="Y330" s="87"/>
      <c r="Z330" s="87"/>
      <c r="AA330" s="87"/>
      <c r="AB330" s="86">
        <f t="shared" si="140"/>
        <v>2855540.15</v>
      </c>
      <c r="AC330" s="18"/>
      <c r="AD330" s="18">
        <v>2023</v>
      </c>
      <c r="AE330" s="18">
        <v>2023</v>
      </c>
      <c r="AF330" s="25"/>
      <c r="AG330" s="91"/>
    </row>
    <row r="331" spans="1:33" s="26" customFormat="1" ht="24" customHeight="1">
      <c r="A331" s="18">
        <f t="shared" si="141"/>
        <v>299</v>
      </c>
      <c r="B331" s="20" t="s">
        <v>158</v>
      </c>
      <c r="C331" s="4">
        <f>D331+F331+G331+H331+I331+K331+L331+M331+O331+P331+Q331+R331+S331+W331+V331+X331</f>
        <v>7936803.5099999998</v>
      </c>
      <c r="D331" s="9"/>
      <c r="E331" s="36"/>
      <c r="F331" s="9"/>
      <c r="G331" s="12"/>
      <c r="H331" s="13"/>
      <c r="I331" s="13"/>
      <c r="J331" s="21"/>
      <c r="K331" s="9"/>
      <c r="L331" s="12"/>
      <c r="M331" s="22"/>
      <c r="N331" s="657"/>
      <c r="O331" s="204"/>
      <c r="P331" s="727"/>
      <c r="Q331" s="727"/>
      <c r="R331" s="725">
        <f>ROUND(2394.2*3170.13,2)</f>
        <v>7589925.25</v>
      </c>
      <c r="S331" s="725"/>
      <c r="T331" s="739"/>
      <c r="U331" s="739"/>
      <c r="V331" s="3">
        <v>233029.38</v>
      </c>
      <c r="W331" s="777">
        <f>(D331+F331+G331+H331+I331+K331+L331+M331+O331+P331+Q331+R331+S331)*1.5%</f>
        <v>113848.88</v>
      </c>
      <c r="X331" s="87"/>
      <c r="Y331" s="87"/>
      <c r="Z331" s="87"/>
      <c r="AA331" s="87"/>
      <c r="AB331" s="86">
        <f t="shared" si="140"/>
        <v>7936803.5099999998</v>
      </c>
      <c r="AC331" s="18"/>
      <c r="AD331" s="18">
        <v>2023</v>
      </c>
      <c r="AE331" s="18">
        <v>2023</v>
      </c>
      <c r="AF331" s="25"/>
      <c r="AG331" s="91"/>
    </row>
    <row r="332" spans="1:33" s="26" customFormat="1" ht="24" customHeight="1">
      <c r="A332" s="18">
        <f t="shared" si="141"/>
        <v>300</v>
      </c>
      <c r="B332" s="20" t="s">
        <v>405</v>
      </c>
      <c r="C332" s="4">
        <f>D332+F332+G332+H332+I332+K332+L332+M332+O332+P332+Q332+R332+S332+W332+V332+X332</f>
        <v>2560264.9700000002</v>
      </c>
      <c r="D332" s="9"/>
      <c r="E332" s="36"/>
      <c r="F332" s="9"/>
      <c r="G332" s="12"/>
      <c r="H332" s="13"/>
      <c r="I332" s="13"/>
      <c r="J332" s="21"/>
      <c r="K332" s="9"/>
      <c r="L332" s="12"/>
      <c r="M332" s="22"/>
      <c r="N332" s="657">
        <v>1</v>
      </c>
      <c r="O332" s="778">
        <v>2447605.84</v>
      </c>
      <c r="P332" s="727"/>
      <c r="Q332" s="727"/>
      <c r="R332" s="725"/>
      <c r="S332" s="725"/>
      <c r="T332" s="739"/>
      <c r="U332" s="739"/>
      <c r="V332" s="3">
        <v>75945.039999999994</v>
      </c>
      <c r="W332" s="777">
        <f>(D332+F332+G332+H332+I332+K332+L332+M332+O332+P332+Q332+R332+S332)*1.5%</f>
        <v>36714.089999999997</v>
      </c>
      <c r="X332" s="87"/>
      <c r="Y332" s="87"/>
      <c r="Z332" s="87"/>
      <c r="AA332" s="87"/>
      <c r="AB332" s="86">
        <f t="shared" si="140"/>
        <v>2560264.9700000002</v>
      </c>
      <c r="AC332" s="18"/>
      <c r="AD332" s="18">
        <v>2023</v>
      </c>
      <c r="AE332" s="18">
        <v>2024</v>
      </c>
      <c r="AF332" s="25"/>
      <c r="AG332" s="91"/>
    </row>
    <row r="333" spans="1:33" s="26" customFormat="1" ht="24" customHeight="1">
      <c r="A333" s="18">
        <f t="shared" si="141"/>
        <v>301</v>
      </c>
      <c r="B333" s="20" t="s">
        <v>341</v>
      </c>
      <c r="C333" s="4">
        <f t="shared" si="139"/>
        <v>6167698.2599999998</v>
      </c>
      <c r="D333" s="9"/>
      <c r="E333" s="36"/>
      <c r="F333" s="9"/>
      <c r="G333" s="12"/>
      <c r="H333" s="13"/>
      <c r="I333" s="13"/>
      <c r="J333" s="21"/>
      <c r="K333" s="9"/>
      <c r="L333" s="12"/>
      <c r="M333" s="22"/>
      <c r="N333" s="657"/>
      <c r="O333" s="204"/>
      <c r="P333" s="727"/>
      <c r="Q333" s="727"/>
      <c r="R333" s="725">
        <v>6076550.0099999998</v>
      </c>
      <c r="S333" s="725"/>
      <c r="T333" s="739"/>
      <c r="U333" s="739"/>
      <c r="V333" s="3"/>
      <c r="W333" s="777">
        <v>91148.25</v>
      </c>
      <c r="X333" s="87"/>
      <c r="Y333" s="87"/>
      <c r="Z333" s="87"/>
      <c r="AA333" s="87"/>
      <c r="AB333" s="86">
        <f t="shared" si="140"/>
        <v>6167698.2599999998</v>
      </c>
      <c r="AC333" s="18"/>
      <c r="AD333" s="18">
        <v>2022</v>
      </c>
      <c r="AE333" s="18">
        <v>2023</v>
      </c>
      <c r="AF333" s="25"/>
      <c r="AG333" s="91"/>
    </row>
    <row r="334" spans="1:33" s="26" customFormat="1" ht="24" customHeight="1">
      <c r="A334" s="18">
        <f t="shared" si="141"/>
        <v>302</v>
      </c>
      <c r="B334" s="20" t="s">
        <v>160</v>
      </c>
      <c r="C334" s="4">
        <f t="shared" si="139"/>
        <v>1976477.44</v>
      </c>
      <c r="D334" s="9"/>
      <c r="E334" s="36"/>
      <c r="F334" s="9"/>
      <c r="G334" s="12"/>
      <c r="H334" s="13"/>
      <c r="I334" s="13"/>
      <c r="J334" s="21"/>
      <c r="K334" s="9"/>
      <c r="L334" s="727">
        <v>1712990.13</v>
      </c>
      <c r="M334" s="22"/>
      <c r="N334" s="657"/>
      <c r="O334" s="204"/>
      <c r="P334" s="727"/>
      <c r="Q334" s="727"/>
      <c r="R334" s="725"/>
      <c r="S334" s="725"/>
      <c r="T334" s="739"/>
      <c r="U334" s="739"/>
      <c r="V334" s="3">
        <v>237792.46</v>
      </c>
      <c r="W334" s="777">
        <f t="shared" ref="W334:W337" si="143">(D334+F334+G334+H334+I334+K334+L334+M334+O334+P334+Q334+R334+S334)*1.5%</f>
        <v>25694.85</v>
      </c>
      <c r="X334" s="87"/>
      <c r="Y334" s="87"/>
      <c r="Z334" s="87"/>
      <c r="AA334" s="87"/>
      <c r="AB334" s="86">
        <f t="shared" si="140"/>
        <v>1976477.44</v>
      </c>
      <c r="AC334" s="18"/>
      <c r="AD334" s="18">
        <v>2023</v>
      </c>
      <c r="AE334" s="18">
        <v>2023</v>
      </c>
      <c r="AF334" s="25"/>
      <c r="AG334" s="91"/>
    </row>
    <row r="335" spans="1:33" s="26" customFormat="1" ht="24" customHeight="1">
      <c r="A335" s="18">
        <f t="shared" si="141"/>
        <v>303</v>
      </c>
      <c r="B335" s="20" t="s">
        <v>406</v>
      </c>
      <c r="C335" s="4">
        <f t="shared" si="139"/>
        <v>3159313.72</v>
      </c>
      <c r="D335" s="9"/>
      <c r="E335" s="36"/>
      <c r="F335" s="9"/>
      <c r="G335" s="12"/>
      <c r="H335" s="13"/>
      <c r="I335" s="13"/>
      <c r="J335" s="21"/>
      <c r="K335" s="9"/>
      <c r="L335" s="12"/>
      <c r="M335" s="22"/>
      <c r="N335" s="657">
        <v>1</v>
      </c>
      <c r="O335" s="778">
        <v>3037801.66</v>
      </c>
      <c r="P335" s="727"/>
      <c r="Q335" s="727"/>
      <c r="R335" s="725"/>
      <c r="S335" s="725"/>
      <c r="T335" s="739"/>
      <c r="U335" s="739"/>
      <c r="V335" s="3">
        <v>75945.039999999994</v>
      </c>
      <c r="W335" s="777">
        <f t="shared" si="143"/>
        <v>45567.02</v>
      </c>
      <c r="X335" s="87"/>
      <c r="Y335" s="87"/>
      <c r="Z335" s="87"/>
      <c r="AA335" s="87"/>
      <c r="AB335" s="86">
        <f t="shared" si="140"/>
        <v>3159313.72</v>
      </c>
      <c r="AC335" s="18"/>
      <c r="AD335" s="18">
        <v>2023</v>
      </c>
      <c r="AE335" s="18">
        <v>2024</v>
      </c>
      <c r="AF335" s="25"/>
      <c r="AG335" s="91"/>
    </row>
    <row r="336" spans="1:33" s="26" customFormat="1" ht="24" customHeight="1">
      <c r="A336" s="18">
        <f t="shared" si="141"/>
        <v>304</v>
      </c>
      <c r="B336" s="20" t="s">
        <v>161</v>
      </c>
      <c r="C336" s="4">
        <f>D336+F336+G336+H336+I336+K336+L336+M336+O336+P336+Q336+R336+S336+W336+V336+X336</f>
        <v>16264315.15</v>
      </c>
      <c r="D336" s="9"/>
      <c r="E336" s="36"/>
      <c r="F336" s="9"/>
      <c r="G336" s="12"/>
      <c r="H336" s="13"/>
      <c r="I336" s="13"/>
      <c r="J336" s="21"/>
      <c r="K336" s="9"/>
      <c r="L336" s="12"/>
      <c r="M336" s="22"/>
      <c r="N336" s="657"/>
      <c r="O336" s="204"/>
      <c r="P336" s="727">
        <f>ROUND(2161.9*3727.29,2)</f>
        <v>8058028.25</v>
      </c>
      <c r="Q336" s="727"/>
      <c r="R336" s="725">
        <f>ROUND(2161.9*3435.59,2)</f>
        <v>7427402.0199999996</v>
      </c>
      <c r="S336" s="725"/>
      <c r="T336" s="739"/>
      <c r="U336" s="739"/>
      <c r="V336" s="3">
        <v>546603.43000000005</v>
      </c>
      <c r="W336" s="777">
        <f t="shared" si="143"/>
        <v>232281.45</v>
      </c>
      <c r="X336" s="87"/>
      <c r="Y336" s="87"/>
      <c r="Z336" s="87"/>
      <c r="AA336" s="87"/>
      <c r="AB336" s="86">
        <f t="shared" si="140"/>
        <v>16264315.15</v>
      </c>
      <c r="AC336" s="18"/>
      <c r="AD336" s="18">
        <v>2023</v>
      </c>
      <c r="AE336" s="18">
        <v>2023</v>
      </c>
      <c r="AF336" s="25"/>
      <c r="AG336" s="91"/>
    </row>
    <row r="337" spans="1:33" s="26" customFormat="1" ht="24" customHeight="1">
      <c r="A337" s="18">
        <f t="shared" si="141"/>
        <v>305</v>
      </c>
      <c r="B337" s="20" t="s">
        <v>162</v>
      </c>
      <c r="C337" s="4">
        <f t="shared" si="139"/>
        <v>17810792.02</v>
      </c>
      <c r="D337" s="9"/>
      <c r="E337" s="36"/>
      <c r="F337" s="9"/>
      <c r="G337" s="12"/>
      <c r="H337" s="13"/>
      <c r="I337" s="13"/>
      <c r="J337" s="21"/>
      <c r="K337" s="9"/>
      <c r="L337" s="12"/>
      <c r="M337" s="22"/>
      <c r="N337" s="204"/>
      <c r="O337" s="204"/>
      <c r="P337" s="727">
        <f>ROUND(1997.3*5975.33,2)</f>
        <v>11934526.609999999</v>
      </c>
      <c r="Q337" s="727"/>
      <c r="R337" s="725">
        <f>ROUND(1997.3*2647.87,2)</f>
        <v>5288590.75</v>
      </c>
      <c r="S337" s="725"/>
      <c r="T337" s="739"/>
      <c r="U337" s="739"/>
      <c r="V337" s="3">
        <v>329327.90000000002</v>
      </c>
      <c r="W337" s="777">
        <f t="shared" si="143"/>
        <v>258346.76</v>
      </c>
      <c r="X337" s="87"/>
      <c r="Y337" s="87"/>
      <c r="Z337" s="87"/>
      <c r="AA337" s="87"/>
      <c r="AB337" s="86">
        <f t="shared" si="140"/>
        <v>17810792.02</v>
      </c>
      <c r="AC337" s="18"/>
      <c r="AD337" s="18">
        <v>2023</v>
      </c>
      <c r="AE337" s="18">
        <v>2023</v>
      </c>
      <c r="AF337" s="25"/>
      <c r="AG337" s="91"/>
    </row>
    <row r="338" spans="1:33" s="26" customFormat="1" ht="24" customHeight="1">
      <c r="A338" s="18">
        <f t="shared" si="141"/>
        <v>306</v>
      </c>
      <c r="B338" s="20" t="s">
        <v>163</v>
      </c>
      <c r="C338" s="4">
        <f t="shared" si="139"/>
        <v>18242026.77</v>
      </c>
      <c r="D338" s="9"/>
      <c r="E338" s="18"/>
      <c r="F338" s="9"/>
      <c r="G338" s="12"/>
      <c r="H338" s="13"/>
      <c r="I338" s="13"/>
      <c r="J338" s="21"/>
      <c r="K338" s="9"/>
      <c r="L338" s="12"/>
      <c r="M338" s="22"/>
      <c r="N338" s="204"/>
      <c r="O338" s="204"/>
      <c r="P338" s="727">
        <f>ROUND(2046.5*5975.33,2)</f>
        <v>12228512.85</v>
      </c>
      <c r="Q338" s="727"/>
      <c r="R338" s="725">
        <f>ROUND(2046.5*2647.87,2)</f>
        <v>5418865.96</v>
      </c>
      <c r="S338" s="725"/>
      <c r="T338" s="739"/>
      <c r="U338" s="739"/>
      <c r="V338" s="3">
        <v>329937.28999999998</v>
      </c>
      <c r="W338" s="777">
        <v>264710.67</v>
      </c>
      <c r="X338" s="87"/>
      <c r="Y338" s="87"/>
      <c r="Z338" s="87"/>
      <c r="AA338" s="87"/>
      <c r="AB338" s="86">
        <f t="shared" si="140"/>
        <v>18242026.77</v>
      </c>
      <c r="AC338" s="18"/>
      <c r="AD338" s="18">
        <v>2023</v>
      </c>
      <c r="AE338" s="18">
        <v>2023</v>
      </c>
      <c r="AF338" s="25"/>
      <c r="AG338" s="91"/>
    </row>
    <row r="339" spans="1:33" s="148" customFormat="1" ht="24" customHeight="1">
      <c r="A339" s="883" t="s">
        <v>42</v>
      </c>
      <c r="B339" s="883"/>
      <c r="C339" s="16">
        <f t="shared" ref="C339:AB339" si="144">SUM(C326:C338)</f>
        <v>91979978.780000001</v>
      </c>
      <c r="D339" s="6">
        <f t="shared" si="144"/>
        <v>0</v>
      </c>
      <c r="E339" s="33"/>
      <c r="F339" s="6">
        <f t="shared" si="144"/>
        <v>0</v>
      </c>
      <c r="G339" s="6">
        <f t="shared" si="144"/>
        <v>0</v>
      </c>
      <c r="H339" s="6">
        <f t="shared" si="144"/>
        <v>0</v>
      </c>
      <c r="I339" s="6">
        <f t="shared" si="144"/>
        <v>0</v>
      </c>
      <c r="J339" s="6">
        <f t="shared" si="144"/>
        <v>0</v>
      </c>
      <c r="K339" s="6">
        <f t="shared" si="144"/>
        <v>0</v>
      </c>
      <c r="L339" s="6">
        <f t="shared" si="144"/>
        <v>1712990.13</v>
      </c>
      <c r="M339" s="6">
        <f t="shared" si="144"/>
        <v>0</v>
      </c>
      <c r="N339" s="847">
        <f t="shared" si="144"/>
        <v>8</v>
      </c>
      <c r="O339" s="6">
        <f t="shared" si="144"/>
        <v>22634783.559999999</v>
      </c>
      <c r="P339" s="6">
        <f t="shared" si="144"/>
        <v>32221067.710000001</v>
      </c>
      <c r="Q339" s="6">
        <f t="shared" si="144"/>
        <v>0</v>
      </c>
      <c r="R339" s="6">
        <f t="shared" si="144"/>
        <v>31801333.989999998</v>
      </c>
      <c r="S339" s="6">
        <f t="shared" si="144"/>
        <v>0</v>
      </c>
      <c r="T339" s="140"/>
      <c r="U339" s="140"/>
      <c r="V339" s="6">
        <f t="shared" si="144"/>
        <v>2284250.7799999998</v>
      </c>
      <c r="W339" s="6">
        <f t="shared" si="144"/>
        <v>1325552.6100000001</v>
      </c>
      <c r="X339" s="6">
        <f t="shared" si="144"/>
        <v>0</v>
      </c>
      <c r="Y339" s="6">
        <f t="shared" si="144"/>
        <v>0</v>
      </c>
      <c r="Z339" s="6">
        <f t="shared" si="144"/>
        <v>0</v>
      </c>
      <c r="AA339" s="6">
        <f t="shared" si="144"/>
        <v>0</v>
      </c>
      <c r="AB339" s="6">
        <f t="shared" si="144"/>
        <v>91979978.780000001</v>
      </c>
      <c r="AC339" s="798"/>
      <c r="AD339" s="798" t="s">
        <v>29</v>
      </c>
      <c r="AE339" s="798" t="s">
        <v>29</v>
      </c>
      <c r="AF339" s="146"/>
      <c r="AG339" s="147"/>
    </row>
    <row r="340" spans="1:33" ht="24" customHeight="1">
      <c r="A340" s="888" t="s">
        <v>373</v>
      </c>
      <c r="B340" s="888"/>
      <c r="C340" s="888"/>
      <c r="D340" s="888"/>
      <c r="E340" s="888"/>
      <c r="F340" s="888"/>
      <c r="G340" s="888"/>
      <c r="H340" s="888"/>
      <c r="I340" s="888"/>
      <c r="J340" s="888"/>
      <c r="K340" s="888"/>
      <c r="L340" s="888"/>
      <c r="M340" s="888"/>
      <c r="N340" s="888"/>
      <c r="O340" s="888"/>
      <c r="P340" s="888"/>
      <c r="Q340" s="888"/>
      <c r="R340" s="888"/>
      <c r="S340" s="888"/>
      <c r="T340" s="889"/>
      <c r="U340" s="889"/>
      <c r="V340" s="888"/>
      <c r="W340" s="888"/>
      <c r="X340" s="888"/>
      <c r="Y340" s="888"/>
      <c r="Z340" s="888"/>
      <c r="AA340" s="888"/>
      <c r="AB340" s="888"/>
      <c r="AC340" s="888"/>
      <c r="AD340" s="888"/>
      <c r="AE340" s="888"/>
      <c r="AF340" s="808"/>
      <c r="AG340" s="806"/>
    </row>
    <row r="341" spans="1:33" s="26" customFormat="1" ht="24" customHeight="1">
      <c r="A341" s="18">
        <f>A338+1</f>
        <v>307</v>
      </c>
      <c r="B341" s="20" t="s">
        <v>459</v>
      </c>
      <c r="C341" s="779">
        <f>D341+F341+G341+H341+I341+K341+L341+M341+O341+P341+Q341+R341+S341+W341+V341+X341</f>
        <v>15834986.310000001</v>
      </c>
      <c r="D341" s="9"/>
      <c r="E341" s="9"/>
      <c r="F341" s="9"/>
      <c r="G341" s="12"/>
      <c r="H341" s="13"/>
      <c r="I341" s="13"/>
      <c r="J341" s="21"/>
      <c r="K341" s="9"/>
      <c r="L341" s="12"/>
      <c r="M341" s="22"/>
      <c r="N341" s="22"/>
      <c r="O341" s="22"/>
      <c r="P341" s="9"/>
      <c r="Q341" s="9"/>
      <c r="R341" s="780">
        <v>14702435.810000001</v>
      </c>
      <c r="S341" s="13"/>
      <c r="T341" s="110"/>
      <c r="U341" s="110"/>
      <c r="V341" s="3">
        <v>979500.54</v>
      </c>
      <c r="W341" s="780">
        <v>153049.96</v>
      </c>
      <c r="X341" s="21"/>
      <c r="Y341" s="781">
        <v>13915068</v>
      </c>
      <c r="Z341" s="781">
        <v>1919918.31</v>
      </c>
      <c r="AA341" s="21"/>
      <c r="AB341" s="24"/>
      <c r="AC341" s="18"/>
      <c r="AD341" s="18">
        <v>2023</v>
      </c>
      <c r="AE341" s="18">
        <v>2023</v>
      </c>
      <c r="AF341" s="25"/>
      <c r="AG341" s="91"/>
    </row>
    <row r="342" spans="1:33" s="95" customFormat="1" ht="24" customHeight="1">
      <c r="A342" s="883" t="s">
        <v>42</v>
      </c>
      <c r="B342" s="883"/>
      <c r="C342" s="16">
        <f t="shared" ref="C342:AB342" si="145">SUM(C341:C341)</f>
        <v>15834986.310000001</v>
      </c>
      <c r="D342" s="6">
        <f t="shared" si="145"/>
        <v>0</v>
      </c>
      <c r="E342" s="6">
        <f t="shared" si="145"/>
        <v>0</v>
      </c>
      <c r="F342" s="6">
        <f t="shared" si="145"/>
        <v>0</v>
      </c>
      <c r="G342" s="6">
        <f t="shared" si="145"/>
        <v>0</v>
      </c>
      <c r="H342" s="6">
        <f t="shared" si="145"/>
        <v>0</v>
      </c>
      <c r="I342" s="6">
        <f t="shared" si="145"/>
        <v>0</v>
      </c>
      <c r="J342" s="6">
        <f t="shared" si="145"/>
        <v>0</v>
      </c>
      <c r="K342" s="6">
        <f t="shared" si="145"/>
        <v>0</v>
      </c>
      <c r="L342" s="6">
        <f t="shared" si="145"/>
        <v>0</v>
      </c>
      <c r="M342" s="6">
        <f t="shared" si="145"/>
        <v>0</v>
      </c>
      <c r="N342" s="6">
        <f t="shared" si="145"/>
        <v>0</v>
      </c>
      <c r="O342" s="6">
        <f t="shared" si="145"/>
        <v>0</v>
      </c>
      <c r="P342" s="6">
        <f t="shared" si="145"/>
        <v>0</v>
      </c>
      <c r="Q342" s="16">
        <f t="shared" si="145"/>
        <v>0</v>
      </c>
      <c r="R342" s="16">
        <f t="shared" si="145"/>
        <v>14702435.810000001</v>
      </c>
      <c r="S342" s="16">
        <f t="shared" si="145"/>
        <v>0</v>
      </c>
      <c r="T342" s="141"/>
      <c r="U342" s="141"/>
      <c r="V342" s="16">
        <f t="shared" si="145"/>
        <v>979500.54</v>
      </c>
      <c r="W342" s="16">
        <f t="shared" si="145"/>
        <v>153049.96</v>
      </c>
      <c r="X342" s="16">
        <f t="shared" si="145"/>
        <v>0</v>
      </c>
      <c r="Y342" s="16">
        <f t="shared" si="145"/>
        <v>13915068</v>
      </c>
      <c r="Z342" s="16">
        <f t="shared" si="145"/>
        <v>1919918.31</v>
      </c>
      <c r="AA342" s="16">
        <f t="shared" si="145"/>
        <v>0</v>
      </c>
      <c r="AB342" s="16">
        <f t="shared" si="145"/>
        <v>0</v>
      </c>
      <c r="AC342" s="798"/>
      <c r="AD342" s="798" t="s">
        <v>29</v>
      </c>
      <c r="AE342" s="798" t="s">
        <v>29</v>
      </c>
      <c r="AF342" s="94"/>
      <c r="AG342" s="145"/>
    </row>
    <row r="343" spans="1:33" s="148" customFormat="1" ht="24" customHeight="1">
      <c r="A343" s="885" t="s">
        <v>1283</v>
      </c>
      <c r="B343" s="886"/>
      <c r="C343" s="886"/>
      <c r="D343" s="886"/>
      <c r="E343" s="886"/>
      <c r="F343" s="886"/>
      <c r="G343" s="886"/>
      <c r="H343" s="886"/>
      <c r="I343" s="886"/>
      <c r="J343" s="886"/>
      <c r="K343" s="886"/>
      <c r="L343" s="886"/>
      <c r="M343" s="886"/>
      <c r="N343" s="886"/>
      <c r="O343" s="886"/>
      <c r="P343" s="886"/>
      <c r="Q343" s="886"/>
      <c r="R343" s="886"/>
      <c r="S343" s="886"/>
      <c r="T343" s="886"/>
      <c r="U343" s="886"/>
      <c r="V343" s="886"/>
      <c r="W343" s="886"/>
      <c r="X343" s="886"/>
      <c r="Y343" s="886"/>
      <c r="Z343" s="886"/>
      <c r="AA343" s="886"/>
      <c r="AB343" s="886"/>
      <c r="AC343" s="886"/>
      <c r="AD343" s="886"/>
      <c r="AE343" s="887"/>
      <c r="AF343" s="146"/>
      <c r="AG343" s="147"/>
    </row>
    <row r="344" spans="1:33" s="148" customFormat="1" ht="24" customHeight="1">
      <c r="A344" s="885" t="s">
        <v>1284</v>
      </c>
      <c r="B344" s="913"/>
      <c r="C344" s="913"/>
      <c r="D344" s="913"/>
      <c r="E344" s="913"/>
      <c r="F344" s="913"/>
      <c r="G344" s="913"/>
      <c r="H344" s="913"/>
      <c r="I344" s="913"/>
      <c r="J344" s="913"/>
      <c r="K344" s="913"/>
      <c r="L344" s="913"/>
      <c r="M344" s="913"/>
      <c r="N344" s="913"/>
      <c r="O344" s="913"/>
      <c r="P344" s="913"/>
      <c r="Q344" s="913"/>
      <c r="R344" s="913"/>
      <c r="S344" s="913"/>
      <c r="T344" s="913"/>
      <c r="U344" s="913"/>
      <c r="V344" s="913"/>
      <c r="W344" s="913"/>
      <c r="X344" s="913"/>
      <c r="Y344" s="913"/>
      <c r="Z344" s="913"/>
      <c r="AA344" s="913"/>
      <c r="AB344" s="913"/>
      <c r="AC344" s="913"/>
      <c r="AD344" s="913"/>
      <c r="AE344" s="914"/>
      <c r="AF344" s="146"/>
      <c r="AG344" s="147"/>
    </row>
    <row r="345" spans="1:33" s="148" customFormat="1" ht="24" customHeight="1">
      <c r="A345" s="18">
        <f>A341+1</f>
        <v>308</v>
      </c>
      <c r="B345" s="21" t="s">
        <v>465</v>
      </c>
      <c r="C345" s="779">
        <f>D345+F345+G345+H345+I345+K345+L345+M345+O345+P345+Q345+R345+S345+W345+V345+X345</f>
        <v>17359308.82</v>
      </c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6">
        <v>17182756.030000001</v>
      </c>
      <c r="Q345" s="88"/>
      <c r="R345" s="88"/>
      <c r="S345" s="88"/>
      <c r="T345" s="143"/>
      <c r="U345" s="143"/>
      <c r="V345" s="88"/>
      <c r="W345" s="86">
        <v>176552.79</v>
      </c>
      <c r="X345" s="88"/>
      <c r="Y345" s="88"/>
      <c r="Z345" s="86">
        <f>C345</f>
        <v>17359308.82</v>
      </c>
      <c r="AA345" s="88"/>
      <c r="AB345" s="24"/>
      <c r="AC345" s="88"/>
      <c r="AD345" s="18">
        <v>2023</v>
      </c>
      <c r="AE345" s="18">
        <v>2023</v>
      </c>
      <c r="AF345" s="146"/>
      <c r="AG345" s="147"/>
    </row>
    <row r="346" spans="1:33" s="148" customFormat="1" ht="24" customHeight="1">
      <c r="A346" s="883" t="s">
        <v>42</v>
      </c>
      <c r="B346" s="883"/>
      <c r="C346" s="16">
        <f>C345</f>
        <v>17359308.82</v>
      </c>
      <c r="D346" s="16">
        <f t="shared" ref="D346:O346" si="146">SUM(D340:D345)</f>
        <v>0</v>
      </c>
      <c r="E346" s="16">
        <f t="shared" si="146"/>
        <v>0</v>
      </c>
      <c r="F346" s="16">
        <f t="shared" si="146"/>
        <v>0</v>
      </c>
      <c r="G346" s="16">
        <f t="shared" si="146"/>
        <v>0</v>
      </c>
      <c r="H346" s="16">
        <f t="shared" si="146"/>
        <v>0</v>
      </c>
      <c r="I346" s="16">
        <f t="shared" si="146"/>
        <v>0</v>
      </c>
      <c r="J346" s="16">
        <f t="shared" si="146"/>
        <v>0</v>
      </c>
      <c r="K346" s="16">
        <f t="shared" si="146"/>
        <v>0</v>
      </c>
      <c r="L346" s="16">
        <f t="shared" si="146"/>
        <v>0</v>
      </c>
      <c r="M346" s="16">
        <f t="shared" si="146"/>
        <v>0</v>
      </c>
      <c r="N346" s="16">
        <f t="shared" si="146"/>
        <v>0</v>
      </c>
      <c r="O346" s="16">
        <f t="shared" si="146"/>
        <v>0</v>
      </c>
      <c r="P346" s="16">
        <f>P345</f>
        <v>17182756.030000001</v>
      </c>
      <c r="Q346" s="16">
        <f t="shared" ref="Q346:AB346" si="147">Q345</f>
        <v>0</v>
      </c>
      <c r="R346" s="16">
        <f t="shared" si="147"/>
        <v>0</v>
      </c>
      <c r="S346" s="16">
        <f t="shared" si="147"/>
        <v>0</v>
      </c>
      <c r="T346" s="141"/>
      <c r="U346" s="141"/>
      <c r="V346" s="16">
        <f t="shared" si="147"/>
        <v>0</v>
      </c>
      <c r="W346" s="16">
        <f t="shared" si="147"/>
        <v>176552.79</v>
      </c>
      <c r="X346" s="16">
        <f t="shared" si="147"/>
        <v>0</v>
      </c>
      <c r="Y346" s="16">
        <f t="shared" si="147"/>
        <v>0</v>
      </c>
      <c r="Z346" s="16">
        <f t="shared" si="147"/>
        <v>17359308.82</v>
      </c>
      <c r="AA346" s="16">
        <f t="shared" si="147"/>
        <v>0</v>
      </c>
      <c r="AB346" s="16">
        <f t="shared" si="147"/>
        <v>0</v>
      </c>
      <c r="AC346" s="798"/>
      <c r="AD346" s="798" t="s">
        <v>29</v>
      </c>
      <c r="AE346" s="798" t="s">
        <v>29</v>
      </c>
      <c r="AF346" s="146"/>
      <c r="AG346" s="147"/>
    </row>
    <row r="347" spans="1:33" ht="24" customHeight="1">
      <c r="A347" s="884" t="s">
        <v>1285</v>
      </c>
      <c r="B347" s="884"/>
      <c r="C347" s="884"/>
      <c r="D347" s="884"/>
      <c r="E347" s="884"/>
      <c r="F347" s="884"/>
      <c r="G347" s="884"/>
      <c r="H347" s="884"/>
      <c r="I347" s="884"/>
      <c r="J347" s="884"/>
      <c r="K347" s="884"/>
      <c r="L347" s="884"/>
      <c r="M347" s="884"/>
      <c r="N347" s="884"/>
      <c r="O347" s="884"/>
      <c r="P347" s="884"/>
      <c r="Q347" s="884"/>
      <c r="R347" s="884"/>
      <c r="S347" s="884"/>
      <c r="T347" s="884"/>
      <c r="U347" s="884"/>
      <c r="V347" s="884"/>
      <c r="W347" s="884"/>
      <c r="X347" s="884"/>
      <c r="Y347" s="884"/>
      <c r="Z347" s="884"/>
      <c r="AA347" s="884"/>
      <c r="AB347" s="884"/>
      <c r="AC347" s="884"/>
      <c r="AD347" s="884"/>
      <c r="AE347" s="884"/>
      <c r="AF347" s="808"/>
      <c r="AG347" s="806"/>
    </row>
    <row r="348" spans="1:33" s="26" customFormat="1" ht="24" customHeight="1">
      <c r="A348" s="18">
        <f>A345+1</f>
        <v>309</v>
      </c>
      <c r="B348" s="55" t="s">
        <v>1234</v>
      </c>
      <c r="C348" s="725">
        <f>D348+F348+G348+H348+I348+K348+L348+M348+O348+P348+Q348+R348+S348+W348+V348+X348</f>
        <v>1823703.08</v>
      </c>
      <c r="D348" s="750"/>
      <c r="E348" s="875">
        <v>1</v>
      </c>
      <c r="F348" s="725">
        <v>1580165.67</v>
      </c>
      <c r="G348" s="727"/>
      <c r="H348" s="782"/>
      <c r="I348" s="201"/>
      <c r="J348" s="87"/>
      <c r="K348" s="725"/>
      <c r="L348" s="727"/>
      <c r="M348" s="204"/>
      <c r="N348" s="204"/>
      <c r="O348" s="204"/>
      <c r="P348" s="725"/>
      <c r="Q348" s="725"/>
      <c r="R348" s="725"/>
      <c r="S348" s="201"/>
      <c r="T348" s="732"/>
      <c r="U348" s="732"/>
      <c r="V348" s="86">
        <v>219466.23</v>
      </c>
      <c r="W348" s="86">
        <v>24071.18</v>
      </c>
      <c r="X348" s="87"/>
      <c r="Y348" s="87"/>
      <c r="Z348" s="86">
        <f>C348</f>
        <v>1823703.08</v>
      </c>
      <c r="AA348" s="87"/>
      <c r="AB348" s="86">
        <f>C348-Z348</f>
        <v>0</v>
      </c>
      <c r="AC348" s="87"/>
      <c r="AD348" s="18">
        <v>2023</v>
      </c>
      <c r="AE348" s="18">
        <v>2023</v>
      </c>
      <c r="AF348" s="149"/>
      <c r="AG348" s="91"/>
    </row>
    <row r="349" spans="1:33" s="26" customFormat="1" ht="24" customHeight="1">
      <c r="A349" s="18">
        <f>A348+1</f>
        <v>310</v>
      </c>
      <c r="B349" s="55" t="s">
        <v>450</v>
      </c>
      <c r="C349" s="725">
        <f t="shared" ref="C349:C350" si="148">D349+F349+G349+H349+I349+K349+L349+M349+O349+P349+Q349+R349+S349+W349+V349+X349</f>
        <v>994794.37</v>
      </c>
      <c r="D349" s="750"/>
      <c r="E349" s="875"/>
      <c r="F349" s="725"/>
      <c r="G349" s="727"/>
      <c r="H349" s="782"/>
      <c r="I349" s="201"/>
      <c r="J349" s="87"/>
      <c r="K349" s="725"/>
      <c r="L349" s="727"/>
      <c r="M349" s="204"/>
      <c r="N349" s="204"/>
      <c r="O349" s="204"/>
      <c r="P349" s="725"/>
      <c r="Q349" s="725">
        <v>984676.82</v>
      </c>
      <c r="R349" s="725"/>
      <c r="S349" s="201"/>
      <c r="T349" s="732"/>
      <c r="U349" s="732"/>
      <c r="V349" s="86"/>
      <c r="W349" s="86">
        <v>10117.549999999999</v>
      </c>
      <c r="X349" s="87"/>
      <c r="Y349" s="87"/>
      <c r="Z349" s="86">
        <f>C349</f>
        <v>994794.37</v>
      </c>
      <c r="AA349" s="87"/>
      <c r="AB349" s="86"/>
      <c r="AC349" s="87"/>
      <c r="AD349" s="18">
        <v>2023</v>
      </c>
      <c r="AE349" s="18">
        <v>2024</v>
      </c>
      <c r="AF349" s="149"/>
      <c r="AG349" s="91"/>
    </row>
    <row r="350" spans="1:33" s="26" customFormat="1" ht="24" customHeight="1">
      <c r="A350" s="18">
        <f t="shared" ref="A350:A352" si="149">A349+1</f>
        <v>311</v>
      </c>
      <c r="B350" s="55" t="s">
        <v>451</v>
      </c>
      <c r="C350" s="725">
        <f t="shared" si="148"/>
        <v>4074322.74</v>
      </c>
      <c r="D350" s="750"/>
      <c r="E350" s="875"/>
      <c r="F350" s="725"/>
      <c r="G350" s="727"/>
      <c r="H350" s="782"/>
      <c r="I350" s="201"/>
      <c r="J350" s="87"/>
      <c r="K350" s="725"/>
      <c r="L350" s="727"/>
      <c r="M350" s="204"/>
      <c r="N350" s="204"/>
      <c r="O350" s="204"/>
      <c r="P350" s="783">
        <v>4032884.86</v>
      </c>
      <c r="Q350" s="725"/>
      <c r="R350" s="725"/>
      <c r="S350" s="201"/>
      <c r="T350" s="732"/>
      <c r="U350" s="732"/>
      <c r="V350" s="86"/>
      <c r="W350" s="86">
        <v>41437.879999999997</v>
      </c>
      <c r="X350" s="87"/>
      <c r="Y350" s="87"/>
      <c r="Z350" s="86">
        <f>C350</f>
        <v>4074322.74</v>
      </c>
      <c r="AA350" s="87"/>
      <c r="AB350" s="86"/>
      <c r="AC350" s="87"/>
      <c r="AD350" s="18">
        <v>2023</v>
      </c>
      <c r="AE350" s="18">
        <v>2024</v>
      </c>
      <c r="AF350" s="149"/>
      <c r="AG350" s="91"/>
    </row>
    <row r="351" spans="1:33" s="26" customFormat="1" ht="24" customHeight="1">
      <c r="A351" s="18">
        <f t="shared" si="149"/>
        <v>312</v>
      </c>
      <c r="B351" s="55" t="s">
        <v>1235</v>
      </c>
      <c r="C351" s="725">
        <f>D351+F351+G351+H351+I351+K351+L351+M351+O351+P351+Q351+R351+S351+W351+V351+X351</f>
        <v>1851696.13</v>
      </c>
      <c r="D351" s="750"/>
      <c r="E351" s="875">
        <v>1</v>
      </c>
      <c r="F351" s="725">
        <v>1604744.95</v>
      </c>
      <c r="G351" s="727"/>
      <c r="H351" s="782"/>
      <c r="I351" s="201"/>
      <c r="J351" s="87"/>
      <c r="K351" s="725"/>
      <c r="L351" s="727"/>
      <c r="M351" s="204"/>
      <c r="N351" s="204"/>
      <c r="O351" s="204"/>
      <c r="P351" s="725"/>
      <c r="Q351" s="725"/>
      <c r="R351" s="725"/>
      <c r="S351" s="201"/>
      <c r="T351" s="732"/>
      <c r="U351" s="732"/>
      <c r="V351" s="86">
        <v>222880</v>
      </c>
      <c r="W351" s="86">
        <v>24071.18</v>
      </c>
      <c r="X351" s="87"/>
      <c r="Y351" s="87"/>
      <c r="Z351" s="86">
        <f>C351</f>
        <v>1851696.13</v>
      </c>
      <c r="AA351" s="87"/>
      <c r="AB351" s="86">
        <f>C351-Z351</f>
        <v>0</v>
      </c>
      <c r="AC351" s="87"/>
      <c r="AD351" s="18">
        <v>2023</v>
      </c>
      <c r="AE351" s="18">
        <v>2023</v>
      </c>
      <c r="AF351" s="149"/>
      <c r="AG351" s="91"/>
    </row>
    <row r="352" spans="1:33" s="26" customFormat="1" ht="24" customHeight="1">
      <c r="A352" s="18">
        <f t="shared" si="149"/>
        <v>313</v>
      </c>
      <c r="B352" s="55" t="s">
        <v>164</v>
      </c>
      <c r="C352" s="725">
        <f>D352+F352+G352+H352+I352+K352+L352+M352+O352+P352+Q352+R352+S352+W352+V352+X352</f>
        <v>3668495.33</v>
      </c>
      <c r="D352" s="750">
        <f>589.88*1308.2</f>
        <v>771681.02</v>
      </c>
      <c r="E352" s="875"/>
      <c r="F352" s="725"/>
      <c r="G352" s="727"/>
      <c r="H352" s="782">
        <f>1074.75*1308.2</f>
        <v>1405987.95</v>
      </c>
      <c r="I352" s="201"/>
      <c r="J352" s="87"/>
      <c r="K352" s="725"/>
      <c r="L352" s="727">
        <f>616.25*1308.2</f>
        <v>806178.25</v>
      </c>
      <c r="M352" s="204"/>
      <c r="N352" s="204"/>
      <c r="O352" s="204"/>
      <c r="P352" s="725"/>
      <c r="Q352" s="725"/>
      <c r="R352" s="725"/>
      <c r="S352" s="201"/>
      <c r="T352" s="732"/>
      <c r="U352" s="732"/>
      <c r="V352" s="86">
        <v>639890.4</v>
      </c>
      <c r="W352" s="86">
        <f>(D352+H352+L352)*1.5%</f>
        <v>44757.71</v>
      </c>
      <c r="X352" s="87"/>
      <c r="Y352" s="87"/>
      <c r="Z352" s="87"/>
      <c r="AA352" s="87"/>
      <c r="AB352" s="86">
        <f>C352</f>
        <v>3668495.33</v>
      </c>
      <c r="AC352" s="87"/>
      <c r="AD352" s="18">
        <v>2023</v>
      </c>
      <c r="AE352" s="18">
        <v>2023</v>
      </c>
      <c r="AF352" s="149"/>
      <c r="AG352" s="91"/>
    </row>
    <row r="353" spans="1:33" s="95" customFormat="1" ht="24" customHeight="1">
      <c r="A353" s="883" t="s">
        <v>42</v>
      </c>
      <c r="B353" s="883"/>
      <c r="C353" s="16">
        <f t="shared" ref="C353:AB353" si="150">SUM(C348:C352)</f>
        <v>12413011.65</v>
      </c>
      <c r="D353" s="16">
        <f t="shared" si="150"/>
        <v>771681.02</v>
      </c>
      <c r="E353" s="845">
        <f t="shared" si="150"/>
        <v>2</v>
      </c>
      <c r="F353" s="16">
        <f t="shared" si="150"/>
        <v>3184910.62</v>
      </c>
      <c r="G353" s="16">
        <f t="shared" si="150"/>
        <v>0</v>
      </c>
      <c r="H353" s="16">
        <f t="shared" si="150"/>
        <v>1405987.95</v>
      </c>
      <c r="I353" s="16">
        <f t="shared" si="150"/>
        <v>0</v>
      </c>
      <c r="J353" s="16">
        <f t="shared" si="150"/>
        <v>0</v>
      </c>
      <c r="K353" s="16">
        <f t="shared" si="150"/>
        <v>0</v>
      </c>
      <c r="L353" s="16">
        <f t="shared" si="150"/>
        <v>806178.25</v>
      </c>
      <c r="M353" s="16">
        <f t="shared" si="150"/>
        <v>0</v>
      </c>
      <c r="N353" s="16">
        <f t="shared" si="150"/>
        <v>0</v>
      </c>
      <c r="O353" s="16">
        <f t="shared" si="150"/>
        <v>0</v>
      </c>
      <c r="P353" s="16">
        <f t="shared" si="150"/>
        <v>4032884.86</v>
      </c>
      <c r="Q353" s="16">
        <f t="shared" si="150"/>
        <v>984676.82</v>
      </c>
      <c r="R353" s="16">
        <f t="shared" si="150"/>
        <v>0</v>
      </c>
      <c r="S353" s="16">
        <f t="shared" si="150"/>
        <v>0</v>
      </c>
      <c r="T353" s="141"/>
      <c r="U353" s="141"/>
      <c r="V353" s="16">
        <f t="shared" si="150"/>
        <v>1082236.6299999999</v>
      </c>
      <c r="W353" s="16">
        <f t="shared" si="150"/>
        <v>144455.5</v>
      </c>
      <c r="X353" s="16">
        <f t="shared" si="150"/>
        <v>0</v>
      </c>
      <c r="Y353" s="16">
        <f t="shared" si="150"/>
        <v>0</v>
      </c>
      <c r="Z353" s="16">
        <f t="shared" si="150"/>
        <v>8744516.3200000003</v>
      </c>
      <c r="AA353" s="16">
        <f t="shared" si="150"/>
        <v>0</v>
      </c>
      <c r="AB353" s="16">
        <f t="shared" si="150"/>
        <v>3668495.33</v>
      </c>
      <c r="AC353" s="798"/>
      <c r="AD353" s="798" t="s">
        <v>29</v>
      </c>
      <c r="AE353" s="798" t="s">
        <v>29</v>
      </c>
      <c r="AF353" s="94"/>
      <c r="AG353" s="145"/>
    </row>
    <row r="354" spans="1:33" s="95" customFormat="1" ht="37.5" customHeight="1">
      <c r="A354" s="881" t="s">
        <v>1286</v>
      </c>
      <c r="B354" s="882"/>
      <c r="C354" s="16">
        <f t="shared" ref="C354:AC354" si="151">C346+C353</f>
        <v>29772320.469999999</v>
      </c>
      <c r="D354" s="16">
        <f t="shared" si="151"/>
        <v>771681.02</v>
      </c>
      <c r="E354" s="845">
        <f t="shared" si="151"/>
        <v>2</v>
      </c>
      <c r="F354" s="16">
        <f t="shared" si="151"/>
        <v>3184910.62</v>
      </c>
      <c r="G354" s="16">
        <f t="shared" si="151"/>
        <v>0</v>
      </c>
      <c r="H354" s="16">
        <f t="shared" si="151"/>
        <v>1405987.95</v>
      </c>
      <c r="I354" s="16">
        <f t="shared" si="151"/>
        <v>0</v>
      </c>
      <c r="J354" s="16">
        <f t="shared" si="151"/>
        <v>0</v>
      </c>
      <c r="K354" s="16">
        <f t="shared" si="151"/>
        <v>0</v>
      </c>
      <c r="L354" s="16">
        <f t="shared" si="151"/>
        <v>806178.25</v>
      </c>
      <c r="M354" s="16">
        <f t="shared" si="151"/>
        <v>0</v>
      </c>
      <c r="N354" s="16">
        <f t="shared" si="151"/>
        <v>0</v>
      </c>
      <c r="O354" s="16">
        <f t="shared" si="151"/>
        <v>0</v>
      </c>
      <c r="P354" s="16">
        <f t="shared" si="151"/>
        <v>21215640.890000001</v>
      </c>
      <c r="Q354" s="16">
        <f t="shared" si="151"/>
        <v>984676.82</v>
      </c>
      <c r="R354" s="16">
        <f t="shared" si="151"/>
        <v>0</v>
      </c>
      <c r="S354" s="16">
        <f t="shared" si="151"/>
        <v>0</v>
      </c>
      <c r="T354" s="141"/>
      <c r="U354" s="141"/>
      <c r="V354" s="16">
        <f t="shared" si="151"/>
        <v>1082236.6299999999</v>
      </c>
      <c r="W354" s="16">
        <f t="shared" si="151"/>
        <v>321008.28999999998</v>
      </c>
      <c r="X354" s="16">
        <f t="shared" si="151"/>
        <v>0</v>
      </c>
      <c r="Y354" s="16">
        <f t="shared" si="151"/>
        <v>0</v>
      </c>
      <c r="Z354" s="16">
        <f t="shared" si="151"/>
        <v>26103825.140000001</v>
      </c>
      <c r="AA354" s="16">
        <f t="shared" si="151"/>
        <v>0</v>
      </c>
      <c r="AB354" s="16">
        <f t="shared" si="151"/>
        <v>3668495.33</v>
      </c>
      <c r="AC354" s="16">
        <f t="shared" si="151"/>
        <v>0</v>
      </c>
      <c r="AD354" s="798" t="s">
        <v>29</v>
      </c>
      <c r="AE354" s="798" t="s">
        <v>29</v>
      </c>
      <c r="AF354" s="94"/>
      <c r="AG354" s="145"/>
    </row>
    <row r="355" spans="1:33" s="148" customFormat="1" ht="24" customHeight="1">
      <c r="A355" s="885" t="s">
        <v>1287</v>
      </c>
      <c r="B355" s="886"/>
      <c r="C355" s="886"/>
      <c r="D355" s="886"/>
      <c r="E355" s="886"/>
      <c r="F355" s="886"/>
      <c r="G355" s="886"/>
      <c r="H355" s="886"/>
      <c r="I355" s="886"/>
      <c r="J355" s="886"/>
      <c r="K355" s="886"/>
      <c r="L355" s="886"/>
      <c r="M355" s="886"/>
      <c r="N355" s="886"/>
      <c r="O355" s="886"/>
      <c r="P355" s="886"/>
      <c r="Q355" s="886"/>
      <c r="R355" s="886"/>
      <c r="S355" s="886"/>
      <c r="T355" s="886"/>
      <c r="U355" s="886"/>
      <c r="V355" s="886"/>
      <c r="W355" s="886"/>
      <c r="X355" s="886"/>
      <c r="Y355" s="886"/>
      <c r="Z355" s="886"/>
      <c r="AA355" s="886"/>
      <c r="AB355" s="886"/>
      <c r="AC355" s="886"/>
      <c r="AD355" s="886"/>
      <c r="AE355" s="887"/>
      <c r="AF355" s="146"/>
      <c r="AG355" s="147"/>
    </row>
    <row r="356" spans="1:33" ht="24" customHeight="1">
      <c r="A356" s="884" t="s">
        <v>1288</v>
      </c>
      <c r="B356" s="884"/>
      <c r="C356" s="884"/>
      <c r="D356" s="884"/>
      <c r="E356" s="884"/>
      <c r="F356" s="884"/>
      <c r="G356" s="884"/>
      <c r="H356" s="884"/>
      <c r="I356" s="884"/>
      <c r="J356" s="884"/>
      <c r="K356" s="884"/>
      <c r="L356" s="884"/>
      <c r="M356" s="884"/>
      <c r="N356" s="884"/>
      <c r="O356" s="884"/>
      <c r="P356" s="884"/>
      <c r="Q356" s="884"/>
      <c r="R356" s="884"/>
      <c r="S356" s="884"/>
      <c r="T356" s="884"/>
      <c r="U356" s="884"/>
      <c r="V356" s="884"/>
      <c r="W356" s="884"/>
      <c r="X356" s="884"/>
      <c r="Y356" s="884"/>
      <c r="Z356" s="884"/>
      <c r="AA356" s="884"/>
      <c r="AB356" s="884"/>
      <c r="AC356" s="884"/>
      <c r="AD356" s="884"/>
      <c r="AE356" s="884"/>
      <c r="AF356" s="808"/>
      <c r="AG356" s="806"/>
    </row>
    <row r="357" spans="1:33" s="26" customFormat="1" ht="24" customHeight="1">
      <c r="A357" s="18">
        <f>A352+1</f>
        <v>314</v>
      </c>
      <c r="B357" s="20" t="s">
        <v>167</v>
      </c>
      <c r="C357" s="725">
        <f>D357+F357+G357+H357+I357+K357+L357+M357+O357+P357+Q357+R357+S357+W357+V357+X357</f>
        <v>13883079.34</v>
      </c>
      <c r="D357" s="725"/>
      <c r="E357" s="725"/>
      <c r="F357" s="725"/>
      <c r="G357" s="727"/>
      <c r="H357" s="201"/>
      <c r="I357" s="201"/>
      <c r="J357" s="87"/>
      <c r="K357" s="725"/>
      <c r="L357" s="727"/>
      <c r="M357" s="204"/>
      <c r="N357" s="204"/>
      <c r="O357" s="204"/>
      <c r="P357" s="725"/>
      <c r="Q357" s="725"/>
      <c r="R357" s="725">
        <v>13677910.68</v>
      </c>
      <c r="S357" s="201"/>
      <c r="T357" s="732"/>
      <c r="U357" s="732"/>
      <c r="V357" s="3"/>
      <c r="W357" s="86">
        <v>205168.66</v>
      </c>
      <c r="X357" s="87"/>
      <c r="Y357" s="87"/>
      <c r="Z357" s="725">
        <v>8055452.7199999997</v>
      </c>
      <c r="AA357" s="87"/>
      <c r="AB357" s="86">
        <f>C357-Z357</f>
        <v>5827626.6200000001</v>
      </c>
      <c r="AC357" s="18"/>
      <c r="AD357" s="18">
        <v>2022</v>
      </c>
      <c r="AE357" s="18">
        <v>2023</v>
      </c>
      <c r="AF357" s="25"/>
      <c r="AG357" s="91"/>
    </row>
    <row r="358" spans="1:33" s="26" customFormat="1" ht="24" customHeight="1">
      <c r="A358" s="18">
        <f>A357+1</f>
        <v>315</v>
      </c>
      <c r="B358" s="20" t="s">
        <v>168</v>
      </c>
      <c r="C358" s="725">
        <f t="shared" ref="C358:C359" si="152">D358+F358+G358+H358+I358+K358+L358+M358+O358+P358+Q358+R358+S358+W358+V358+X358</f>
        <v>26329310.969999999</v>
      </c>
      <c r="D358" s="725"/>
      <c r="E358" s="725"/>
      <c r="F358" s="725"/>
      <c r="G358" s="727"/>
      <c r="H358" s="201"/>
      <c r="I358" s="201"/>
      <c r="J358" s="87"/>
      <c r="K358" s="725"/>
      <c r="L358" s="727"/>
      <c r="M358" s="204"/>
      <c r="N358" s="204"/>
      <c r="O358" s="204"/>
      <c r="P358" s="725"/>
      <c r="Q358" s="725"/>
      <c r="R358" s="725">
        <v>25940207.850000001</v>
      </c>
      <c r="S358" s="201"/>
      <c r="T358" s="732"/>
      <c r="U358" s="732"/>
      <c r="V358" s="3"/>
      <c r="W358" s="86">
        <v>389103.12</v>
      </c>
      <c r="X358" s="87"/>
      <c r="Y358" s="87"/>
      <c r="Z358" s="86">
        <f>C358</f>
        <v>26329310.969999999</v>
      </c>
      <c r="AA358" s="87"/>
      <c r="AB358" s="86"/>
      <c r="AC358" s="18"/>
      <c r="AD358" s="18">
        <v>2022</v>
      </c>
      <c r="AE358" s="18">
        <v>2023</v>
      </c>
      <c r="AF358" s="25"/>
      <c r="AG358" s="91"/>
    </row>
    <row r="359" spans="1:33" s="26" customFormat="1" ht="24" customHeight="1">
      <c r="A359" s="18">
        <f>A358+1</f>
        <v>316</v>
      </c>
      <c r="B359" s="20" t="s">
        <v>169</v>
      </c>
      <c r="C359" s="725">
        <f t="shared" si="152"/>
        <v>9026835.2300000004</v>
      </c>
      <c r="D359" s="725"/>
      <c r="E359" s="725"/>
      <c r="F359" s="725"/>
      <c r="G359" s="727"/>
      <c r="H359" s="201"/>
      <c r="I359" s="201"/>
      <c r="J359" s="87"/>
      <c r="K359" s="725"/>
      <c r="L359" s="727"/>
      <c r="M359" s="204"/>
      <c r="N359" s="204"/>
      <c r="O359" s="204"/>
      <c r="P359" s="725"/>
      <c r="Q359" s="725"/>
      <c r="R359" s="725">
        <v>8893433.7200000007</v>
      </c>
      <c r="S359" s="201"/>
      <c r="T359" s="732"/>
      <c r="U359" s="732"/>
      <c r="V359" s="3"/>
      <c r="W359" s="86">
        <v>133401.51</v>
      </c>
      <c r="X359" s="87"/>
      <c r="Y359" s="87"/>
      <c r="Z359" s="725">
        <v>5237688.46</v>
      </c>
      <c r="AA359" s="87"/>
      <c r="AB359" s="86">
        <f>C359-Z359</f>
        <v>3789146.77</v>
      </c>
      <c r="AC359" s="18"/>
      <c r="AD359" s="18">
        <v>2022</v>
      </c>
      <c r="AE359" s="18">
        <v>2023</v>
      </c>
      <c r="AF359" s="25"/>
      <c r="AG359" s="91"/>
    </row>
    <row r="360" spans="1:33" s="148" customFormat="1" ht="24" customHeight="1">
      <c r="A360" s="883" t="s">
        <v>42</v>
      </c>
      <c r="B360" s="883"/>
      <c r="C360" s="16">
        <f t="shared" ref="C360:R360" si="153">SUM(C357:C359)</f>
        <v>49239225.539999999</v>
      </c>
      <c r="D360" s="16">
        <f t="shared" si="153"/>
        <v>0</v>
      </c>
      <c r="E360" s="16">
        <f t="shared" si="153"/>
        <v>0</v>
      </c>
      <c r="F360" s="16">
        <f t="shared" si="153"/>
        <v>0</v>
      </c>
      <c r="G360" s="16">
        <f t="shared" si="153"/>
        <v>0</v>
      </c>
      <c r="H360" s="16">
        <f t="shared" si="153"/>
        <v>0</v>
      </c>
      <c r="I360" s="16">
        <f t="shared" si="153"/>
        <v>0</v>
      </c>
      <c r="J360" s="16">
        <f t="shared" si="153"/>
        <v>0</v>
      </c>
      <c r="K360" s="16">
        <f t="shared" si="153"/>
        <v>0</v>
      </c>
      <c r="L360" s="16">
        <f t="shared" si="153"/>
        <v>0</v>
      </c>
      <c r="M360" s="16">
        <f t="shared" si="153"/>
        <v>0</v>
      </c>
      <c r="N360" s="16">
        <f t="shared" si="153"/>
        <v>0</v>
      </c>
      <c r="O360" s="16">
        <f t="shared" si="153"/>
        <v>0</v>
      </c>
      <c r="P360" s="16">
        <f t="shared" si="153"/>
        <v>0</v>
      </c>
      <c r="Q360" s="16">
        <f t="shared" si="153"/>
        <v>0</v>
      </c>
      <c r="R360" s="16">
        <f t="shared" si="153"/>
        <v>48511552.25</v>
      </c>
      <c r="S360" s="16">
        <f t="shared" ref="S360:AB360" si="154">SUM(S357:S359)</f>
        <v>0</v>
      </c>
      <c r="T360" s="141"/>
      <c r="U360" s="141"/>
      <c r="V360" s="16">
        <f t="shared" si="154"/>
        <v>0</v>
      </c>
      <c r="W360" s="16">
        <f t="shared" si="154"/>
        <v>727673.29</v>
      </c>
      <c r="X360" s="16">
        <f t="shared" si="154"/>
        <v>0</v>
      </c>
      <c r="Y360" s="16">
        <f t="shared" si="154"/>
        <v>0</v>
      </c>
      <c r="Z360" s="16">
        <f t="shared" si="154"/>
        <v>39622452.149999999</v>
      </c>
      <c r="AA360" s="16">
        <f t="shared" si="154"/>
        <v>0</v>
      </c>
      <c r="AB360" s="16">
        <f t="shared" si="154"/>
        <v>9616773.3900000006</v>
      </c>
      <c r="AC360" s="798"/>
      <c r="AD360" s="798" t="s">
        <v>29</v>
      </c>
      <c r="AE360" s="798" t="s">
        <v>29</v>
      </c>
      <c r="AF360" s="146"/>
      <c r="AG360" s="147"/>
    </row>
    <row r="361" spans="1:33" ht="24" customHeight="1">
      <c r="A361" s="884" t="s">
        <v>1289</v>
      </c>
      <c r="B361" s="884"/>
      <c r="C361" s="884"/>
      <c r="D361" s="884"/>
      <c r="E361" s="884"/>
      <c r="F361" s="884"/>
      <c r="G361" s="884"/>
      <c r="H361" s="884"/>
      <c r="I361" s="884"/>
      <c r="J361" s="884"/>
      <c r="K361" s="884"/>
      <c r="L361" s="884"/>
      <c r="M361" s="884"/>
      <c r="N361" s="884"/>
      <c r="O361" s="884"/>
      <c r="P361" s="884"/>
      <c r="Q361" s="884"/>
      <c r="R361" s="884"/>
      <c r="S361" s="884"/>
      <c r="T361" s="884"/>
      <c r="U361" s="884"/>
      <c r="V361" s="884"/>
      <c r="W361" s="884"/>
      <c r="X361" s="884"/>
      <c r="Y361" s="884"/>
      <c r="Z361" s="884"/>
      <c r="AA361" s="884"/>
      <c r="AB361" s="884"/>
      <c r="AC361" s="884"/>
      <c r="AD361" s="884"/>
      <c r="AE361" s="884"/>
      <c r="AF361" s="808"/>
      <c r="AG361" s="806"/>
    </row>
    <row r="362" spans="1:33" s="26" customFormat="1" ht="24" customHeight="1">
      <c r="A362" s="18">
        <f>A359+1</f>
        <v>317</v>
      </c>
      <c r="B362" s="20" t="s">
        <v>1236</v>
      </c>
      <c r="C362" s="4">
        <f>D362+F362+G362+H362+I362+K362+L362+M362+O362+P362+Q362+R362+S362+W362+V362+X362</f>
        <v>4175938.31</v>
      </c>
      <c r="D362" s="9"/>
      <c r="E362" s="731">
        <v>1</v>
      </c>
      <c r="F362" s="725">
        <v>1197448.78</v>
      </c>
      <c r="G362" s="727">
        <f>1518.1*596.38</f>
        <v>905364.47999999998</v>
      </c>
      <c r="H362" s="201">
        <f>1518.1*1074.75</f>
        <v>1631577.98</v>
      </c>
      <c r="I362" s="201"/>
      <c r="J362" s="87"/>
      <c r="K362" s="725"/>
      <c r="L362" s="727"/>
      <c r="M362" s="204"/>
      <c r="N362" s="22"/>
      <c r="O362" s="204"/>
      <c r="P362" s="725"/>
      <c r="Q362" s="725"/>
      <c r="R362" s="725"/>
      <c r="S362" s="201"/>
      <c r="T362" s="732"/>
      <c r="U362" s="732"/>
      <c r="V362" s="780">
        <v>385531.2</v>
      </c>
      <c r="W362" s="86">
        <f>(D362+F362+G362+H362+I362+K362+L362+M362+O362+P362+Q362+R362+S362)*1.5%</f>
        <v>56015.87</v>
      </c>
      <c r="X362" s="87"/>
      <c r="Y362" s="87"/>
      <c r="Z362" s="87"/>
      <c r="AA362" s="87"/>
      <c r="AB362" s="86">
        <f>C362</f>
        <v>4175938.31</v>
      </c>
      <c r="AC362" s="18"/>
      <c r="AD362" s="18">
        <v>2023</v>
      </c>
      <c r="AE362" s="18">
        <v>2023</v>
      </c>
      <c r="AF362" s="25"/>
      <c r="AG362" s="91"/>
    </row>
    <row r="363" spans="1:33" s="26" customFormat="1" ht="24" customHeight="1">
      <c r="A363" s="18">
        <f>A362+1</f>
        <v>318</v>
      </c>
      <c r="B363" s="20" t="s">
        <v>1237</v>
      </c>
      <c r="C363" s="4">
        <f>D363+F363+G363+H363+I363+K363+L363+M363+O363+P363+Q363+R363+S363+W363+V363+X363</f>
        <v>12637254.9</v>
      </c>
      <c r="D363" s="9"/>
      <c r="E363" s="36"/>
      <c r="F363" s="725"/>
      <c r="G363" s="727"/>
      <c r="H363" s="201"/>
      <c r="I363" s="201"/>
      <c r="J363" s="87"/>
      <c r="K363" s="725"/>
      <c r="L363" s="727"/>
      <c r="M363" s="204"/>
      <c r="N363" s="204">
        <v>4</v>
      </c>
      <c r="O363" s="764">
        <v>12151206.640000001</v>
      </c>
      <c r="P363" s="725"/>
      <c r="Q363" s="725"/>
      <c r="R363" s="725"/>
      <c r="S363" s="201"/>
      <c r="T363" s="732"/>
      <c r="U363" s="732"/>
      <c r="V363" s="780">
        <v>303780.15999999997</v>
      </c>
      <c r="W363" s="86">
        <f>(D363+F363+G363+H363+I363+K363+L363+M363+O363+P363+Q363+R363+S363)*1.5%</f>
        <v>182268.1</v>
      </c>
      <c r="X363" s="87"/>
      <c r="Y363" s="87"/>
      <c r="Z363" s="87"/>
      <c r="AA363" s="87"/>
      <c r="AB363" s="86">
        <f>C363</f>
        <v>12637254.9</v>
      </c>
      <c r="AC363" s="18"/>
      <c r="AD363" s="18">
        <v>2023</v>
      </c>
      <c r="AE363" s="18">
        <v>2024</v>
      </c>
      <c r="AF363" s="25"/>
      <c r="AG363" s="91"/>
    </row>
    <row r="364" spans="1:33" s="26" customFormat="1" ht="24" customHeight="1">
      <c r="A364" s="18">
        <f t="shared" ref="A364:A365" si="155">A363+1</f>
        <v>319</v>
      </c>
      <c r="B364" s="20" t="s">
        <v>170</v>
      </c>
      <c r="C364" s="4">
        <f>D364+F364+G364+H364+I364+K364+L364+M364+O364+P364+Q364+R364+S364+W364+V364+X364</f>
        <v>3463245.17</v>
      </c>
      <c r="D364" s="9">
        <f>1340.5*589.88</f>
        <v>790734.14</v>
      </c>
      <c r="E364" s="9"/>
      <c r="F364" s="725"/>
      <c r="G364" s="727">
        <f>1340.5*596.38</f>
        <v>799447.39</v>
      </c>
      <c r="H364" s="201">
        <f>1340.5*1074.75</f>
        <v>1440702.38</v>
      </c>
      <c r="I364" s="201"/>
      <c r="J364" s="87"/>
      <c r="K364" s="725"/>
      <c r="L364" s="727"/>
      <c r="M364" s="204"/>
      <c r="N364" s="807"/>
      <c r="O364" s="204"/>
      <c r="P364" s="725"/>
      <c r="Q364" s="725"/>
      <c r="R364" s="725"/>
      <c r="S364" s="201"/>
      <c r="T364" s="732"/>
      <c r="U364" s="732"/>
      <c r="V364" s="780">
        <v>386898</v>
      </c>
      <c r="W364" s="86">
        <f t="shared" ref="W364:W365" si="156">(D364+F364+G364+H364+I364+K364+L364+M364+O364+P364+Q364+R364+S364)*1.5%</f>
        <v>45463.26</v>
      </c>
      <c r="X364" s="87"/>
      <c r="Y364" s="87"/>
      <c r="Z364" s="87"/>
      <c r="AA364" s="87"/>
      <c r="AB364" s="86">
        <f t="shared" ref="AB364:AB365" si="157">C364</f>
        <v>3463245.17</v>
      </c>
      <c r="AC364" s="18"/>
      <c r="AD364" s="18">
        <v>2023</v>
      </c>
      <c r="AE364" s="18">
        <v>2023</v>
      </c>
      <c r="AF364" s="25"/>
      <c r="AG364" s="91"/>
    </row>
    <row r="365" spans="1:33" s="26" customFormat="1" ht="24" customHeight="1">
      <c r="A365" s="18">
        <f t="shared" si="155"/>
        <v>320</v>
      </c>
      <c r="B365" s="20" t="s">
        <v>171</v>
      </c>
      <c r="C365" s="4">
        <f>D365+F365+G365+H365+I365+K365+L365+M365+O365+P365+Q365+R365+S365+W365+V365+X365</f>
        <v>3315488.81</v>
      </c>
      <c r="D365" s="9">
        <f>1277.2*589.88</f>
        <v>753394.74</v>
      </c>
      <c r="E365" s="9"/>
      <c r="F365" s="725"/>
      <c r="G365" s="727">
        <f>1277.2*596.38</f>
        <v>761696.54</v>
      </c>
      <c r="H365" s="201">
        <f>1277.2*1074.75</f>
        <v>1372670.7</v>
      </c>
      <c r="I365" s="201"/>
      <c r="J365" s="87"/>
      <c r="K365" s="725"/>
      <c r="L365" s="727"/>
      <c r="M365" s="204"/>
      <c r="N365" s="807"/>
      <c r="O365" s="204"/>
      <c r="P365" s="725"/>
      <c r="Q365" s="725"/>
      <c r="R365" s="725"/>
      <c r="S365" s="201"/>
      <c r="T365" s="732"/>
      <c r="U365" s="732"/>
      <c r="V365" s="780">
        <v>384410.4</v>
      </c>
      <c r="W365" s="86">
        <f t="shared" si="156"/>
        <v>43316.43</v>
      </c>
      <c r="X365" s="87"/>
      <c r="Y365" s="87"/>
      <c r="Z365" s="87"/>
      <c r="AA365" s="87"/>
      <c r="AB365" s="86">
        <f t="shared" si="157"/>
        <v>3315488.81</v>
      </c>
      <c r="AC365" s="18"/>
      <c r="AD365" s="18">
        <v>2023</v>
      </c>
      <c r="AE365" s="18">
        <v>2023</v>
      </c>
      <c r="AF365" s="25"/>
      <c r="AG365" s="91"/>
    </row>
    <row r="366" spans="1:33" s="95" customFormat="1" ht="24" customHeight="1">
      <c r="A366" s="883" t="s">
        <v>42</v>
      </c>
      <c r="B366" s="883"/>
      <c r="C366" s="16">
        <f>SUM(C362:C365)</f>
        <v>23591927.190000001</v>
      </c>
      <c r="D366" s="16">
        <f>SUM(D362:D365)</f>
        <v>1544128.88</v>
      </c>
      <c r="E366" s="398">
        <f>SUM(E362:E365)</f>
        <v>1</v>
      </c>
      <c r="F366" s="6">
        <f>SUM(F362:F365)</f>
        <v>1197448.78</v>
      </c>
      <c r="G366" s="6">
        <f t="shared" ref="G366:W366" si="158">SUM(G362:G365)</f>
        <v>2466508.41</v>
      </c>
      <c r="H366" s="6">
        <f t="shared" si="158"/>
        <v>4444951.0599999996</v>
      </c>
      <c r="I366" s="6">
        <f t="shared" si="158"/>
        <v>0</v>
      </c>
      <c r="J366" s="6">
        <f t="shared" si="158"/>
        <v>0</v>
      </c>
      <c r="K366" s="6">
        <f t="shared" si="158"/>
        <v>0</v>
      </c>
      <c r="L366" s="6">
        <f t="shared" si="158"/>
        <v>0</v>
      </c>
      <c r="M366" s="6">
        <f t="shared" si="158"/>
        <v>0</v>
      </c>
      <c r="N366" s="874">
        <f t="shared" si="158"/>
        <v>4</v>
      </c>
      <c r="O366" s="6">
        <f t="shared" si="158"/>
        <v>12151206.640000001</v>
      </c>
      <c r="P366" s="6">
        <f t="shared" si="158"/>
        <v>0</v>
      </c>
      <c r="Q366" s="6">
        <f t="shared" si="158"/>
        <v>0</v>
      </c>
      <c r="R366" s="6">
        <f t="shared" si="158"/>
        <v>0</v>
      </c>
      <c r="S366" s="6">
        <f t="shared" si="158"/>
        <v>0</v>
      </c>
      <c r="T366" s="140"/>
      <c r="U366" s="140"/>
      <c r="V366" s="6">
        <f t="shared" si="158"/>
        <v>1460619.76</v>
      </c>
      <c r="W366" s="6">
        <f t="shared" si="158"/>
        <v>327063.65999999997</v>
      </c>
      <c r="X366" s="16">
        <f t="shared" ref="X366:AA366" si="159">SUM(X362:X362)</f>
        <v>0</v>
      </c>
      <c r="Y366" s="16">
        <f t="shared" si="159"/>
        <v>0</v>
      </c>
      <c r="Z366" s="16">
        <f t="shared" si="159"/>
        <v>0</v>
      </c>
      <c r="AA366" s="16">
        <f t="shared" si="159"/>
        <v>0</v>
      </c>
      <c r="AB366" s="16">
        <f>SUM(AB362:AB365)</f>
        <v>23591927.190000001</v>
      </c>
      <c r="AC366" s="798"/>
      <c r="AD366" s="798" t="s">
        <v>29</v>
      </c>
      <c r="AE366" s="798" t="s">
        <v>29</v>
      </c>
      <c r="AF366" s="94"/>
      <c r="AG366" s="145"/>
    </row>
    <row r="367" spans="1:33" ht="24" customHeight="1">
      <c r="A367" s="884" t="s">
        <v>1290</v>
      </c>
      <c r="B367" s="884"/>
      <c r="C367" s="884"/>
      <c r="D367" s="884"/>
      <c r="E367" s="884"/>
      <c r="F367" s="884"/>
      <c r="G367" s="884"/>
      <c r="H367" s="884"/>
      <c r="I367" s="884"/>
      <c r="J367" s="884"/>
      <c r="K367" s="884"/>
      <c r="L367" s="884"/>
      <c r="M367" s="884"/>
      <c r="N367" s="884"/>
      <c r="O367" s="884"/>
      <c r="P367" s="884"/>
      <c r="Q367" s="884"/>
      <c r="R367" s="884"/>
      <c r="S367" s="884"/>
      <c r="T367" s="884"/>
      <c r="U367" s="884"/>
      <c r="V367" s="884"/>
      <c r="W367" s="884"/>
      <c r="X367" s="884"/>
      <c r="Y367" s="884"/>
      <c r="Z367" s="884"/>
      <c r="AA367" s="884"/>
      <c r="AB367" s="884"/>
      <c r="AC367" s="884"/>
      <c r="AD367" s="884"/>
      <c r="AE367" s="884"/>
      <c r="AF367" s="808"/>
      <c r="AG367" s="806"/>
    </row>
    <row r="368" spans="1:33" s="26" customFormat="1" ht="24" customHeight="1">
      <c r="A368" s="18">
        <f>A365+1</f>
        <v>321</v>
      </c>
      <c r="B368" s="85" t="s">
        <v>760</v>
      </c>
      <c r="C368" s="725">
        <f>D368+F368+G368+H368+I368+K368+L368+M368+O368+P368+Q368+R368+S368+W368+V368+X368</f>
        <v>23527252.050000001</v>
      </c>
      <c r="D368" s="725">
        <v>2295593.63</v>
      </c>
      <c r="E368" s="731"/>
      <c r="F368" s="725"/>
      <c r="G368" s="727">
        <v>3073220.63</v>
      </c>
      <c r="H368" s="201">
        <v>2811970</v>
      </c>
      <c r="I368" s="201"/>
      <c r="J368" s="87"/>
      <c r="K368" s="725"/>
      <c r="L368" s="727"/>
      <c r="M368" s="204"/>
      <c r="N368" s="204"/>
      <c r="O368" s="727"/>
      <c r="P368" s="725">
        <v>13073290.4</v>
      </c>
      <c r="Q368" s="725"/>
      <c r="R368" s="725"/>
      <c r="S368" s="201"/>
      <c r="T368" s="732"/>
      <c r="U368" s="732"/>
      <c r="V368" s="780">
        <v>2237267.4500000002</v>
      </c>
      <c r="W368" s="86">
        <v>35909.94</v>
      </c>
      <c r="X368" s="87"/>
      <c r="Y368" s="86">
        <v>20674682.300000001</v>
      </c>
      <c r="Z368" s="86">
        <v>2852569.75</v>
      </c>
      <c r="AA368" s="87"/>
      <c r="AB368" s="86"/>
      <c r="AC368" s="18"/>
      <c r="AD368" s="18">
        <v>2023</v>
      </c>
      <c r="AE368" s="18">
        <v>2023</v>
      </c>
      <c r="AF368" s="25"/>
      <c r="AG368" s="91"/>
    </row>
    <row r="369" spans="1:33" s="95" customFormat="1" ht="24" customHeight="1">
      <c r="A369" s="883" t="s">
        <v>42</v>
      </c>
      <c r="B369" s="883"/>
      <c r="C369" s="16">
        <f t="shared" ref="C369:AB369" si="160">SUM(C368:C368)</f>
        <v>23527252.050000001</v>
      </c>
      <c r="D369" s="6">
        <f t="shared" si="160"/>
        <v>2295593.63</v>
      </c>
      <c r="E369" s="6">
        <f t="shared" si="160"/>
        <v>0</v>
      </c>
      <c r="F369" s="6">
        <f t="shared" si="160"/>
        <v>0</v>
      </c>
      <c r="G369" s="6">
        <f t="shared" si="160"/>
        <v>3073220.63</v>
      </c>
      <c r="H369" s="6">
        <f t="shared" si="160"/>
        <v>2811970</v>
      </c>
      <c r="I369" s="6">
        <f t="shared" si="160"/>
        <v>0</v>
      </c>
      <c r="J369" s="6">
        <f t="shared" si="160"/>
        <v>0</v>
      </c>
      <c r="K369" s="6">
        <f t="shared" si="160"/>
        <v>0</v>
      </c>
      <c r="L369" s="6">
        <f t="shared" si="160"/>
        <v>0</v>
      </c>
      <c r="M369" s="6">
        <f t="shared" si="160"/>
        <v>0</v>
      </c>
      <c r="N369" s="33"/>
      <c r="O369" s="6">
        <f t="shared" si="160"/>
        <v>0</v>
      </c>
      <c r="P369" s="6">
        <f t="shared" si="160"/>
        <v>13073290.4</v>
      </c>
      <c r="Q369" s="6">
        <f t="shared" si="160"/>
        <v>0</v>
      </c>
      <c r="R369" s="6">
        <f t="shared" si="160"/>
        <v>0</v>
      </c>
      <c r="S369" s="6">
        <f t="shared" si="160"/>
        <v>0</v>
      </c>
      <c r="T369" s="140"/>
      <c r="U369" s="140"/>
      <c r="V369" s="16">
        <f t="shared" si="160"/>
        <v>2237267.4500000002</v>
      </c>
      <c r="W369" s="16">
        <f t="shared" si="160"/>
        <v>35909.94</v>
      </c>
      <c r="X369" s="16">
        <f t="shared" si="160"/>
        <v>0</v>
      </c>
      <c r="Y369" s="16">
        <f t="shared" si="160"/>
        <v>20674682.300000001</v>
      </c>
      <c r="Z369" s="16">
        <f t="shared" si="160"/>
        <v>2852569.75</v>
      </c>
      <c r="AA369" s="16">
        <f t="shared" si="160"/>
        <v>0</v>
      </c>
      <c r="AB369" s="16">
        <f t="shared" si="160"/>
        <v>0</v>
      </c>
      <c r="AC369" s="798"/>
      <c r="AD369" s="798" t="s">
        <v>29</v>
      </c>
      <c r="AE369" s="798" t="s">
        <v>29</v>
      </c>
      <c r="AF369" s="94"/>
      <c r="AG369" s="145"/>
    </row>
    <row r="370" spans="1:33" ht="24" customHeight="1">
      <c r="A370" s="884" t="s">
        <v>1291</v>
      </c>
      <c r="B370" s="884"/>
      <c r="C370" s="884"/>
      <c r="D370" s="884"/>
      <c r="E370" s="884"/>
      <c r="F370" s="884"/>
      <c r="G370" s="884"/>
      <c r="H370" s="884"/>
      <c r="I370" s="884"/>
      <c r="J370" s="884"/>
      <c r="K370" s="884"/>
      <c r="L370" s="884"/>
      <c r="M370" s="884"/>
      <c r="N370" s="884"/>
      <c r="O370" s="884"/>
      <c r="P370" s="884"/>
      <c r="Q370" s="884"/>
      <c r="R370" s="884"/>
      <c r="S370" s="884"/>
      <c r="T370" s="884"/>
      <c r="U370" s="884"/>
      <c r="V370" s="884"/>
      <c r="W370" s="884"/>
      <c r="X370" s="884"/>
      <c r="Y370" s="884"/>
      <c r="Z370" s="884"/>
      <c r="AA370" s="884"/>
      <c r="AB370" s="884"/>
      <c r="AC370" s="884"/>
      <c r="AD370" s="884"/>
      <c r="AE370" s="884"/>
      <c r="AF370" s="808"/>
      <c r="AG370" s="806"/>
    </row>
    <row r="371" spans="1:33" s="26" customFormat="1" ht="24" customHeight="1">
      <c r="A371" s="18">
        <f>A368+1</f>
        <v>322</v>
      </c>
      <c r="B371" s="20" t="s">
        <v>897</v>
      </c>
      <c r="C371" s="4">
        <f>D371+F371+G371+H371+I371+K371+L371+M371+O371+P371+Q371+R371+S371+W371+V371+X371</f>
        <v>6164459.0199999996</v>
      </c>
      <c r="D371" s="9"/>
      <c r="E371" s="36"/>
      <c r="F371" s="9"/>
      <c r="G371" s="12"/>
      <c r="H371" s="13"/>
      <c r="I371" s="13"/>
      <c r="J371" s="21"/>
      <c r="K371" s="9"/>
      <c r="L371" s="12"/>
      <c r="M371" s="22"/>
      <c r="N371" s="204">
        <v>2</v>
      </c>
      <c r="O371" s="727">
        <f>(2*3037801.66-V371)</f>
        <v>5923713.2400000002</v>
      </c>
      <c r="P371" s="9"/>
      <c r="Q371" s="9"/>
      <c r="R371" s="9"/>
      <c r="S371" s="13"/>
      <c r="T371" s="110"/>
      <c r="U371" s="110"/>
      <c r="V371" s="780">
        <v>151890.07999999999</v>
      </c>
      <c r="W371" s="86">
        <f>(D371+F371+G371+H371+I371+K371+L371+M371+O371+P371+Q371+R371+S371)*1.5%</f>
        <v>88855.7</v>
      </c>
      <c r="X371" s="21"/>
      <c r="Y371" s="21"/>
      <c r="Z371" s="21"/>
      <c r="AA371" s="21"/>
      <c r="AB371" s="86">
        <f>C371</f>
        <v>6164459.0199999996</v>
      </c>
      <c r="AC371" s="18"/>
      <c r="AD371" s="18">
        <v>2023</v>
      </c>
      <c r="AE371" s="18">
        <v>2023</v>
      </c>
      <c r="AF371" s="25"/>
      <c r="AG371" s="91"/>
    </row>
    <row r="372" spans="1:33" s="95" customFormat="1" ht="24" customHeight="1">
      <c r="A372" s="883" t="s">
        <v>42</v>
      </c>
      <c r="B372" s="883"/>
      <c r="C372" s="16">
        <f t="shared" ref="C372:AB372" si="161">SUM(C371:C371)</f>
        <v>6164459.0199999996</v>
      </c>
      <c r="D372" s="6">
        <f t="shared" si="161"/>
        <v>0</v>
      </c>
      <c r="E372" s="6">
        <f t="shared" si="161"/>
        <v>0</v>
      </c>
      <c r="F372" s="6">
        <f t="shared" si="161"/>
        <v>0</v>
      </c>
      <c r="G372" s="6">
        <f t="shared" si="161"/>
        <v>0</v>
      </c>
      <c r="H372" s="6">
        <f t="shared" si="161"/>
        <v>0</v>
      </c>
      <c r="I372" s="6">
        <f t="shared" si="161"/>
        <v>0</v>
      </c>
      <c r="J372" s="6">
        <f t="shared" si="161"/>
        <v>0</v>
      </c>
      <c r="K372" s="6">
        <f t="shared" si="161"/>
        <v>0</v>
      </c>
      <c r="L372" s="6">
        <f t="shared" si="161"/>
        <v>0</v>
      </c>
      <c r="M372" s="6">
        <f t="shared" si="161"/>
        <v>0</v>
      </c>
      <c r="N372" s="847">
        <f t="shared" si="161"/>
        <v>2</v>
      </c>
      <c r="O372" s="6">
        <f t="shared" si="161"/>
        <v>5923713.2400000002</v>
      </c>
      <c r="P372" s="6">
        <f t="shared" si="161"/>
        <v>0</v>
      </c>
      <c r="Q372" s="6">
        <f t="shared" si="161"/>
        <v>0</v>
      </c>
      <c r="R372" s="6">
        <f t="shared" si="161"/>
        <v>0</v>
      </c>
      <c r="S372" s="6">
        <f t="shared" si="161"/>
        <v>0</v>
      </c>
      <c r="T372" s="140"/>
      <c r="U372" s="140"/>
      <c r="V372" s="16">
        <f t="shared" si="161"/>
        <v>151890.07999999999</v>
      </c>
      <c r="W372" s="16">
        <f t="shared" si="161"/>
        <v>88855.7</v>
      </c>
      <c r="X372" s="16">
        <f t="shared" si="161"/>
        <v>0</v>
      </c>
      <c r="Y372" s="16">
        <f t="shared" si="161"/>
        <v>0</v>
      </c>
      <c r="Z372" s="16">
        <f t="shared" si="161"/>
        <v>0</v>
      </c>
      <c r="AA372" s="16">
        <f t="shared" si="161"/>
        <v>0</v>
      </c>
      <c r="AB372" s="16">
        <f t="shared" si="161"/>
        <v>6164459.0199999996</v>
      </c>
      <c r="AC372" s="798"/>
      <c r="AD372" s="798" t="s">
        <v>29</v>
      </c>
      <c r="AE372" s="798" t="s">
        <v>29</v>
      </c>
      <c r="AF372" s="94"/>
      <c r="AG372" s="145"/>
    </row>
    <row r="373" spans="1:33" ht="24" customHeight="1">
      <c r="A373" s="884" t="s">
        <v>1292</v>
      </c>
      <c r="B373" s="884"/>
      <c r="C373" s="884"/>
      <c r="D373" s="884"/>
      <c r="E373" s="884"/>
      <c r="F373" s="884"/>
      <c r="G373" s="884"/>
      <c r="H373" s="884"/>
      <c r="I373" s="884"/>
      <c r="J373" s="884"/>
      <c r="K373" s="884"/>
      <c r="L373" s="884"/>
      <c r="M373" s="884"/>
      <c r="N373" s="884"/>
      <c r="O373" s="884"/>
      <c r="P373" s="884"/>
      <c r="Q373" s="884"/>
      <c r="R373" s="884"/>
      <c r="S373" s="884"/>
      <c r="T373" s="884"/>
      <c r="U373" s="884"/>
      <c r="V373" s="884"/>
      <c r="W373" s="884"/>
      <c r="X373" s="884"/>
      <c r="Y373" s="884"/>
      <c r="Z373" s="884"/>
      <c r="AA373" s="884"/>
      <c r="AB373" s="884"/>
      <c r="AC373" s="884"/>
      <c r="AD373" s="884"/>
      <c r="AE373" s="884"/>
      <c r="AF373" s="808"/>
      <c r="AG373" s="806"/>
    </row>
    <row r="374" spans="1:33" s="26" customFormat="1" ht="24" customHeight="1">
      <c r="A374" s="18">
        <f>A371+1</f>
        <v>323</v>
      </c>
      <c r="B374" s="57" t="s">
        <v>172</v>
      </c>
      <c r="C374" s="4">
        <f>D374+F374+G374+H374+I374+K374+L374+M374+O374+P374+Q374+R374+S374+W374+V374+X374</f>
        <v>8105954.2999999998</v>
      </c>
      <c r="D374" s="9"/>
      <c r="E374" s="36"/>
      <c r="F374" s="9"/>
      <c r="G374" s="12"/>
      <c r="H374" s="13"/>
      <c r="I374" s="13"/>
      <c r="J374" s="21"/>
      <c r="K374" s="725"/>
      <c r="L374" s="727"/>
      <c r="M374" s="204"/>
      <c r="N374" s="204"/>
      <c r="O374" s="204"/>
      <c r="P374" s="725">
        <f>2007*3727.29</f>
        <v>7480671.0300000003</v>
      </c>
      <c r="Q374" s="725"/>
      <c r="R374" s="725"/>
      <c r="S374" s="201"/>
      <c r="T374" s="732"/>
      <c r="U374" s="732"/>
      <c r="V374" s="3">
        <v>513073.2</v>
      </c>
      <c r="W374" s="86">
        <f>(D374+F374+G374+H374+I374+K374+L374+M374+O374+P374+Q374+R374+S374)*1.5%</f>
        <v>112210.07</v>
      </c>
      <c r="X374" s="87"/>
      <c r="Y374" s="87"/>
      <c r="Z374" s="87"/>
      <c r="AA374" s="87"/>
      <c r="AB374" s="86">
        <f>C374</f>
        <v>8105954.2999999998</v>
      </c>
      <c r="AC374" s="87"/>
      <c r="AD374" s="18">
        <v>2023</v>
      </c>
      <c r="AE374" s="18">
        <v>2023</v>
      </c>
      <c r="AF374" s="25"/>
      <c r="AG374" s="91"/>
    </row>
    <row r="375" spans="1:33" s="26" customFormat="1" ht="24" customHeight="1">
      <c r="A375" s="18">
        <f>A374+1</f>
        <v>324</v>
      </c>
      <c r="B375" s="57" t="s">
        <v>173</v>
      </c>
      <c r="C375" s="4">
        <f>D375+F375+G375+H375+I375+K375+L375+M375+O375+P375+Q375+R375+S375+W375+V375+X375</f>
        <v>10540541.73</v>
      </c>
      <c r="D375" s="9"/>
      <c r="E375" s="9"/>
      <c r="F375" s="9"/>
      <c r="G375" s="12"/>
      <c r="H375" s="13"/>
      <c r="I375" s="13"/>
      <c r="J375" s="21"/>
      <c r="K375" s="725"/>
      <c r="L375" s="727"/>
      <c r="M375" s="204"/>
      <c r="N375" s="204"/>
      <c r="O375" s="204"/>
      <c r="P375" s="725">
        <v>9917714.8100000005</v>
      </c>
      <c r="Q375" s="725"/>
      <c r="R375" s="725"/>
      <c r="S375" s="201"/>
      <c r="T375" s="732"/>
      <c r="U375" s="732"/>
      <c r="V375" s="3">
        <v>474061.2</v>
      </c>
      <c r="W375" s="86">
        <v>148765.72</v>
      </c>
      <c r="X375" s="87"/>
      <c r="Y375" s="87"/>
      <c r="Z375" s="87"/>
      <c r="AA375" s="87"/>
      <c r="AB375" s="86">
        <f t="shared" ref="AB375:AB378" si="162">C375</f>
        <v>10540541.73</v>
      </c>
      <c r="AC375" s="87"/>
      <c r="AD375" s="18">
        <v>2023</v>
      </c>
      <c r="AE375" s="18">
        <v>2023</v>
      </c>
      <c r="AF375" s="25"/>
      <c r="AG375" s="91"/>
    </row>
    <row r="376" spans="1:33" s="26" customFormat="1" ht="24" customHeight="1">
      <c r="A376" s="18">
        <f t="shared" ref="A376:A378" si="163">A375+1</f>
        <v>325</v>
      </c>
      <c r="B376" s="57" t="s">
        <v>174</v>
      </c>
      <c r="C376" s="4">
        <f t="shared" ref="C376:C378" si="164">D376+F376+G376+H376+I376+K376+L376+M376+O376+P376+Q376+R376+S376+W376+V376+X376</f>
        <v>10447700.4</v>
      </c>
      <c r="D376" s="9"/>
      <c r="E376" s="9"/>
      <c r="F376" s="9"/>
      <c r="G376" s="12"/>
      <c r="H376" s="13"/>
      <c r="I376" s="13"/>
      <c r="J376" s="21"/>
      <c r="K376" s="725"/>
      <c r="L376" s="727"/>
      <c r="M376" s="204"/>
      <c r="N376" s="204"/>
      <c r="O376" s="204"/>
      <c r="P376" s="725">
        <f>1258.6*7807.38</f>
        <v>9826368.4700000007</v>
      </c>
      <c r="Q376" s="725"/>
      <c r="R376" s="725"/>
      <c r="S376" s="201"/>
      <c r="T376" s="732"/>
      <c r="U376" s="732"/>
      <c r="V376" s="3">
        <v>473936.4</v>
      </c>
      <c r="W376" s="86">
        <f t="shared" ref="W376:W378" si="165">(D376+F376+G376+H376+I376+K376+L376+M376+O376+P376+Q376+R376+S376)*1.5%</f>
        <v>147395.53</v>
      </c>
      <c r="X376" s="87"/>
      <c r="Y376" s="87"/>
      <c r="Z376" s="87"/>
      <c r="AA376" s="87"/>
      <c r="AB376" s="86">
        <f t="shared" si="162"/>
        <v>10447700.4</v>
      </c>
      <c r="AC376" s="87"/>
      <c r="AD376" s="18">
        <v>2023</v>
      </c>
      <c r="AE376" s="18">
        <v>2023</v>
      </c>
      <c r="AF376" s="25"/>
      <c r="AG376" s="91"/>
    </row>
    <row r="377" spans="1:33" s="26" customFormat="1" ht="24" customHeight="1">
      <c r="A377" s="18">
        <f t="shared" si="163"/>
        <v>326</v>
      </c>
      <c r="B377" s="57" t="s">
        <v>175</v>
      </c>
      <c r="C377" s="4">
        <f t="shared" si="164"/>
        <v>10166830.77</v>
      </c>
      <c r="D377" s="9"/>
      <c r="E377" s="9"/>
      <c r="F377" s="9"/>
      <c r="G377" s="12"/>
      <c r="H377" s="13"/>
      <c r="I377" s="13"/>
      <c r="J377" s="21"/>
      <c r="K377" s="725"/>
      <c r="L377" s="727"/>
      <c r="M377" s="204"/>
      <c r="N377" s="204"/>
      <c r="O377" s="204"/>
      <c r="P377" s="725">
        <f>2502.9*3727.29</f>
        <v>9329034.1400000006</v>
      </c>
      <c r="Q377" s="725"/>
      <c r="R377" s="725"/>
      <c r="S377" s="201"/>
      <c r="T377" s="732"/>
      <c r="U377" s="732"/>
      <c r="V377" s="3">
        <v>697861.12</v>
      </c>
      <c r="W377" s="86">
        <f t="shared" si="165"/>
        <v>139935.51</v>
      </c>
      <c r="X377" s="87"/>
      <c r="Y377" s="87"/>
      <c r="Z377" s="87"/>
      <c r="AA377" s="87"/>
      <c r="AB377" s="86">
        <f t="shared" si="162"/>
        <v>10166830.77</v>
      </c>
      <c r="AC377" s="87"/>
      <c r="AD377" s="18">
        <v>2023</v>
      </c>
      <c r="AE377" s="18">
        <v>2023</v>
      </c>
      <c r="AF377" s="25"/>
      <c r="AG377" s="91"/>
    </row>
    <row r="378" spans="1:33" s="26" customFormat="1" ht="24" customHeight="1">
      <c r="A378" s="18">
        <f t="shared" si="163"/>
        <v>327</v>
      </c>
      <c r="B378" s="57" t="s">
        <v>176</v>
      </c>
      <c r="C378" s="4">
        <f t="shared" si="164"/>
        <v>10628669.060000001</v>
      </c>
      <c r="D378" s="9"/>
      <c r="E378" s="9"/>
      <c r="F378" s="9"/>
      <c r="G378" s="12"/>
      <c r="H378" s="13"/>
      <c r="I378" s="13"/>
      <c r="J378" s="21"/>
      <c r="K378" s="725"/>
      <c r="L378" s="727"/>
      <c r="M378" s="204"/>
      <c r="N378" s="204"/>
      <c r="O378" s="204"/>
      <c r="P378" s="725">
        <f>1281.4*7807.38</f>
        <v>10004376.73</v>
      </c>
      <c r="Q378" s="725"/>
      <c r="R378" s="725"/>
      <c r="S378" s="201"/>
      <c r="T378" s="732"/>
      <c r="U378" s="732"/>
      <c r="V378" s="3">
        <v>474226.68</v>
      </c>
      <c r="W378" s="86">
        <f t="shared" si="165"/>
        <v>150065.65</v>
      </c>
      <c r="X378" s="87"/>
      <c r="Y378" s="87"/>
      <c r="Z378" s="87"/>
      <c r="AA378" s="87"/>
      <c r="AB378" s="86">
        <f t="shared" si="162"/>
        <v>10628669.060000001</v>
      </c>
      <c r="AC378" s="87"/>
      <c r="AD378" s="18">
        <v>2023</v>
      </c>
      <c r="AE378" s="18">
        <v>2023</v>
      </c>
      <c r="AF378" s="25"/>
      <c r="AG378" s="91"/>
    </row>
    <row r="379" spans="1:33" s="95" customFormat="1" ht="24" customHeight="1">
      <c r="A379" s="883" t="s">
        <v>42</v>
      </c>
      <c r="B379" s="883"/>
      <c r="C379" s="16">
        <f>SUM(C374:C378)</f>
        <v>49889696.259999998</v>
      </c>
      <c r="D379" s="6">
        <f t="shared" ref="D379:O379" si="166">SUM(D374:D374)</f>
        <v>0</v>
      </c>
      <c r="E379" s="6">
        <f t="shared" si="166"/>
        <v>0</v>
      </c>
      <c r="F379" s="6">
        <f t="shared" si="166"/>
        <v>0</v>
      </c>
      <c r="G379" s="6">
        <f t="shared" si="166"/>
        <v>0</v>
      </c>
      <c r="H379" s="6">
        <f t="shared" si="166"/>
        <v>0</v>
      </c>
      <c r="I379" s="6">
        <f t="shared" si="166"/>
        <v>0</v>
      </c>
      <c r="J379" s="6">
        <f t="shared" si="166"/>
        <v>0</v>
      </c>
      <c r="K379" s="6">
        <f t="shared" si="166"/>
        <v>0</v>
      </c>
      <c r="L379" s="6">
        <f t="shared" si="166"/>
        <v>0</v>
      </c>
      <c r="M379" s="6">
        <f t="shared" si="166"/>
        <v>0</v>
      </c>
      <c r="N379" s="6">
        <f t="shared" si="166"/>
        <v>0</v>
      </c>
      <c r="O379" s="6">
        <f t="shared" si="166"/>
        <v>0</v>
      </c>
      <c r="P379" s="6">
        <f>SUM(P374:P378)</f>
        <v>46558165.18</v>
      </c>
      <c r="Q379" s="6">
        <f>SUM(Q374:Q374)</f>
        <v>0</v>
      </c>
      <c r="R379" s="6">
        <f>SUM(R374:R374)</f>
        <v>0</v>
      </c>
      <c r="S379" s="6">
        <f>SUM(S374:S374)</f>
        <v>0</v>
      </c>
      <c r="T379" s="140"/>
      <c r="U379" s="140"/>
      <c r="V379" s="16">
        <f>SUM(V374:V378)</f>
        <v>2633158.6</v>
      </c>
      <c r="W379" s="16">
        <f>SUM(W374:W378)</f>
        <v>698372.48</v>
      </c>
      <c r="X379" s="16">
        <f>SUM(X374:X374)</f>
        <v>0</v>
      </c>
      <c r="Y379" s="16">
        <f>SUM(Y374:Y374)</f>
        <v>0</v>
      </c>
      <c r="Z379" s="16">
        <f>SUM(Z374:Z374)</f>
        <v>0</v>
      </c>
      <c r="AA379" s="16">
        <f>SUM(AA374:AA374)</f>
        <v>0</v>
      </c>
      <c r="AB379" s="16">
        <f>SUM(AB374:AB378)</f>
        <v>49889696.259999998</v>
      </c>
      <c r="AC379" s="798"/>
      <c r="AD379" s="798" t="s">
        <v>29</v>
      </c>
      <c r="AE379" s="798" t="s">
        <v>29</v>
      </c>
      <c r="AF379" s="94"/>
      <c r="AG379" s="145"/>
    </row>
    <row r="380" spans="1:33" ht="24" customHeight="1">
      <c r="A380" s="884" t="s">
        <v>1293</v>
      </c>
      <c r="B380" s="884"/>
      <c r="C380" s="884"/>
      <c r="D380" s="884"/>
      <c r="E380" s="884"/>
      <c r="F380" s="884"/>
      <c r="G380" s="884"/>
      <c r="H380" s="884"/>
      <c r="I380" s="884"/>
      <c r="J380" s="884"/>
      <c r="K380" s="884"/>
      <c r="L380" s="884"/>
      <c r="M380" s="884"/>
      <c r="N380" s="884"/>
      <c r="O380" s="884"/>
      <c r="P380" s="884"/>
      <c r="Q380" s="884"/>
      <c r="R380" s="884"/>
      <c r="S380" s="884"/>
      <c r="T380" s="884"/>
      <c r="U380" s="884"/>
      <c r="V380" s="884"/>
      <c r="W380" s="884"/>
      <c r="X380" s="884"/>
      <c r="Y380" s="884"/>
      <c r="Z380" s="884"/>
      <c r="AA380" s="884"/>
      <c r="AB380" s="884"/>
      <c r="AC380" s="884"/>
      <c r="AD380" s="884"/>
      <c r="AE380" s="884"/>
      <c r="AF380" s="808"/>
      <c r="AG380" s="806"/>
    </row>
    <row r="381" spans="1:33" s="95" customFormat="1" ht="24" customHeight="1">
      <c r="A381" s="18">
        <f>A378+1</f>
        <v>328</v>
      </c>
      <c r="B381" s="85" t="s">
        <v>403</v>
      </c>
      <c r="C381" s="4">
        <v>6318627.4500000002</v>
      </c>
      <c r="D381" s="9"/>
      <c r="E381" s="36"/>
      <c r="F381" s="9"/>
      <c r="G381" s="12"/>
      <c r="H381" s="13"/>
      <c r="I381" s="13"/>
      <c r="J381" s="21"/>
      <c r="K381" s="9"/>
      <c r="L381" s="12"/>
      <c r="M381" s="22"/>
      <c r="N381" s="204">
        <v>2</v>
      </c>
      <c r="O381" s="12">
        <v>6075603.3200000003</v>
      </c>
      <c r="P381" s="9"/>
      <c r="Q381" s="9"/>
      <c r="R381" s="9"/>
      <c r="S381" s="13"/>
      <c r="T381" s="110"/>
      <c r="U381" s="110"/>
      <c r="V381" s="56">
        <v>151890.07999999999</v>
      </c>
      <c r="W381" s="24">
        <v>91134.05</v>
      </c>
      <c r="X381" s="21"/>
      <c r="Y381" s="21"/>
      <c r="Z381" s="21"/>
      <c r="AA381" s="21"/>
      <c r="AB381" s="4">
        <v>6318627.4500000002</v>
      </c>
      <c r="AC381" s="18"/>
      <c r="AD381" s="18">
        <v>2023</v>
      </c>
      <c r="AE381" s="18">
        <v>2024</v>
      </c>
      <c r="AF381" s="94"/>
      <c r="AG381" s="145"/>
    </row>
    <row r="382" spans="1:33" s="95" customFormat="1" ht="24" customHeight="1">
      <c r="A382" s="18">
        <f>A381+1</f>
        <v>329</v>
      </c>
      <c r="B382" s="85" t="s">
        <v>404</v>
      </c>
      <c r="C382" s="4">
        <v>3159313.72</v>
      </c>
      <c r="D382" s="9"/>
      <c r="E382" s="36"/>
      <c r="F382" s="9"/>
      <c r="G382" s="12"/>
      <c r="H382" s="13"/>
      <c r="I382" s="13"/>
      <c r="J382" s="21"/>
      <c r="K382" s="9"/>
      <c r="L382" s="12"/>
      <c r="M382" s="22"/>
      <c r="N382" s="204">
        <v>1</v>
      </c>
      <c r="O382" s="12">
        <v>3037801.66</v>
      </c>
      <c r="P382" s="9"/>
      <c r="Q382" s="9"/>
      <c r="R382" s="9"/>
      <c r="S382" s="13"/>
      <c r="T382" s="110"/>
      <c r="U382" s="110"/>
      <c r="V382" s="56">
        <v>75945.039999999994</v>
      </c>
      <c r="W382" s="24">
        <v>45567.02</v>
      </c>
      <c r="X382" s="21"/>
      <c r="Y382" s="21"/>
      <c r="Z382" s="21"/>
      <c r="AA382" s="21"/>
      <c r="AB382" s="4">
        <v>3159313.72</v>
      </c>
      <c r="AC382" s="18"/>
      <c r="AD382" s="18">
        <v>2023</v>
      </c>
      <c r="AE382" s="18">
        <v>2024</v>
      </c>
      <c r="AF382" s="94"/>
      <c r="AG382" s="145"/>
    </row>
    <row r="383" spans="1:33" s="95" customFormat="1" ht="24" customHeight="1">
      <c r="A383" s="883" t="s">
        <v>42</v>
      </c>
      <c r="B383" s="883"/>
      <c r="C383" s="16">
        <f>SUM(C381:C382)</f>
        <v>9477941.1699999999</v>
      </c>
      <c r="D383" s="16">
        <f t="shared" ref="D383:R383" si="167">SUM(D381:D382)</f>
        <v>0</v>
      </c>
      <c r="E383" s="16">
        <f t="shared" si="167"/>
        <v>0</v>
      </c>
      <c r="F383" s="16">
        <f t="shared" si="167"/>
        <v>0</v>
      </c>
      <c r="G383" s="16">
        <f t="shared" si="167"/>
        <v>0</v>
      </c>
      <c r="H383" s="16">
        <f t="shared" si="167"/>
        <v>0</v>
      </c>
      <c r="I383" s="16">
        <f t="shared" si="167"/>
        <v>0</v>
      </c>
      <c r="J383" s="16">
        <f t="shared" si="167"/>
        <v>0</v>
      </c>
      <c r="K383" s="16">
        <f t="shared" si="167"/>
        <v>0</v>
      </c>
      <c r="L383" s="16">
        <f t="shared" si="167"/>
        <v>0</v>
      </c>
      <c r="M383" s="16">
        <f t="shared" si="167"/>
        <v>0</v>
      </c>
      <c r="N383" s="845">
        <f t="shared" si="167"/>
        <v>3</v>
      </c>
      <c r="O383" s="16">
        <f t="shared" si="167"/>
        <v>9113404.9800000004</v>
      </c>
      <c r="P383" s="16">
        <f t="shared" si="167"/>
        <v>0</v>
      </c>
      <c r="Q383" s="16">
        <f t="shared" si="167"/>
        <v>0</v>
      </c>
      <c r="R383" s="16">
        <f t="shared" si="167"/>
        <v>0</v>
      </c>
      <c r="S383" s="16">
        <f>SUM(S381:S382)</f>
        <v>0</v>
      </c>
      <c r="T383" s="141"/>
      <c r="U383" s="141"/>
      <c r="V383" s="16">
        <f t="shared" ref="V383" si="168">SUM(V381:V382)</f>
        <v>227835.12</v>
      </c>
      <c r="W383" s="16">
        <f t="shared" ref="W383" si="169">SUM(W381:W382)</f>
        <v>136701.07</v>
      </c>
      <c r="X383" s="16">
        <f t="shared" ref="X383" si="170">SUM(X381:X382)</f>
        <v>0</v>
      </c>
      <c r="Y383" s="16">
        <f t="shared" ref="Y383" si="171">SUM(Y381:Y382)</f>
        <v>0</v>
      </c>
      <c r="Z383" s="16">
        <f t="shared" ref="Z383" si="172">SUM(Z381:Z382)</f>
        <v>0</v>
      </c>
      <c r="AA383" s="16">
        <f t="shared" ref="AA383" si="173">SUM(AA381:AA382)</f>
        <v>0</v>
      </c>
      <c r="AB383" s="16">
        <f t="shared" ref="AB383" si="174">SUM(AB381:AB382)</f>
        <v>9477941.1699999999</v>
      </c>
      <c r="AC383" s="798"/>
      <c r="AD383" s="798" t="s">
        <v>29</v>
      </c>
      <c r="AE383" s="798" t="s">
        <v>29</v>
      </c>
      <c r="AF383" s="94"/>
      <c r="AG383" s="145"/>
    </row>
    <row r="384" spans="1:33" s="148" customFormat="1" ht="35.25" customHeight="1">
      <c r="A384" s="881" t="s">
        <v>1294</v>
      </c>
      <c r="B384" s="882"/>
      <c r="C384" s="16">
        <f>C360+C366+C369+C372+C379+C383</f>
        <v>161890501.22999999</v>
      </c>
      <c r="D384" s="16">
        <f t="shared" ref="D384:AC384" si="175">D360+D366+D369+D372+D379+D383</f>
        <v>3839722.51</v>
      </c>
      <c r="E384" s="396">
        <f t="shared" si="175"/>
        <v>1</v>
      </c>
      <c r="F384" s="16">
        <f t="shared" si="175"/>
        <v>1197448.78</v>
      </c>
      <c r="G384" s="16">
        <f t="shared" si="175"/>
        <v>5539729.04</v>
      </c>
      <c r="H384" s="16">
        <f t="shared" si="175"/>
        <v>7256921.0599999996</v>
      </c>
      <c r="I384" s="16">
        <f t="shared" si="175"/>
        <v>0</v>
      </c>
      <c r="J384" s="16">
        <f t="shared" si="175"/>
        <v>0</v>
      </c>
      <c r="K384" s="16">
        <f t="shared" si="175"/>
        <v>0</v>
      </c>
      <c r="L384" s="16">
        <f t="shared" si="175"/>
        <v>0</v>
      </c>
      <c r="M384" s="16">
        <f t="shared" si="175"/>
        <v>0</v>
      </c>
      <c r="N384" s="845">
        <f t="shared" si="175"/>
        <v>9</v>
      </c>
      <c r="O384" s="16">
        <f t="shared" si="175"/>
        <v>27188324.859999999</v>
      </c>
      <c r="P384" s="16">
        <f t="shared" si="175"/>
        <v>59631455.579999998</v>
      </c>
      <c r="Q384" s="16">
        <f t="shared" si="175"/>
        <v>0</v>
      </c>
      <c r="R384" s="16">
        <f t="shared" si="175"/>
        <v>48511552.25</v>
      </c>
      <c r="S384" s="16">
        <f t="shared" si="175"/>
        <v>0</v>
      </c>
      <c r="T384" s="141"/>
      <c r="U384" s="141"/>
      <c r="V384" s="16">
        <f t="shared" si="175"/>
        <v>6710771.0099999998</v>
      </c>
      <c r="W384" s="16">
        <f t="shared" si="175"/>
        <v>2014576.14</v>
      </c>
      <c r="X384" s="16">
        <f t="shared" si="175"/>
        <v>0</v>
      </c>
      <c r="Y384" s="16">
        <f t="shared" si="175"/>
        <v>20674682.300000001</v>
      </c>
      <c r="Z384" s="16">
        <f t="shared" si="175"/>
        <v>42475021.899999999</v>
      </c>
      <c r="AA384" s="16">
        <f t="shared" si="175"/>
        <v>0</v>
      </c>
      <c r="AB384" s="16">
        <f t="shared" si="175"/>
        <v>98740797.030000001</v>
      </c>
      <c r="AC384" s="16">
        <f t="shared" si="175"/>
        <v>0</v>
      </c>
      <c r="AD384" s="798"/>
      <c r="AE384" s="798"/>
      <c r="AF384" s="146"/>
      <c r="AG384" s="147"/>
    </row>
    <row r="385" spans="1:33" s="148" customFormat="1" ht="24" customHeight="1">
      <c r="A385" s="885" t="s">
        <v>1295</v>
      </c>
      <c r="B385" s="886"/>
      <c r="C385" s="886"/>
      <c r="D385" s="886"/>
      <c r="E385" s="886"/>
      <c r="F385" s="886"/>
      <c r="G385" s="886"/>
      <c r="H385" s="886"/>
      <c r="I385" s="886"/>
      <c r="J385" s="886"/>
      <c r="K385" s="886"/>
      <c r="L385" s="886"/>
      <c r="M385" s="886"/>
      <c r="N385" s="886"/>
      <c r="O385" s="886"/>
      <c r="P385" s="886"/>
      <c r="Q385" s="886"/>
      <c r="R385" s="886"/>
      <c r="S385" s="886"/>
      <c r="T385" s="886"/>
      <c r="U385" s="886"/>
      <c r="V385" s="886"/>
      <c r="W385" s="886"/>
      <c r="X385" s="886"/>
      <c r="Y385" s="886"/>
      <c r="Z385" s="886"/>
      <c r="AA385" s="886"/>
      <c r="AB385" s="886"/>
      <c r="AC385" s="886"/>
      <c r="AD385" s="886"/>
      <c r="AE385" s="887"/>
      <c r="AF385" s="146"/>
      <c r="AG385" s="147"/>
    </row>
    <row r="386" spans="1:33" ht="24" customHeight="1">
      <c r="A386" s="884" t="s">
        <v>1296</v>
      </c>
      <c r="B386" s="884"/>
      <c r="C386" s="884"/>
      <c r="D386" s="884"/>
      <c r="E386" s="884"/>
      <c r="F386" s="884"/>
      <c r="G386" s="884"/>
      <c r="H386" s="884"/>
      <c r="I386" s="884"/>
      <c r="J386" s="884"/>
      <c r="K386" s="884"/>
      <c r="L386" s="884"/>
      <c r="M386" s="884"/>
      <c r="N386" s="884"/>
      <c r="O386" s="884"/>
      <c r="P386" s="884"/>
      <c r="Q386" s="884"/>
      <c r="R386" s="884"/>
      <c r="S386" s="884"/>
      <c r="T386" s="884"/>
      <c r="U386" s="884"/>
      <c r="V386" s="884"/>
      <c r="W386" s="884"/>
      <c r="X386" s="884"/>
      <c r="Y386" s="884"/>
      <c r="Z386" s="884"/>
      <c r="AA386" s="884"/>
      <c r="AB386" s="884"/>
      <c r="AC386" s="884"/>
      <c r="AD386" s="884"/>
      <c r="AE386" s="884"/>
      <c r="AF386" s="808"/>
      <c r="AG386" s="806"/>
    </row>
    <row r="387" spans="1:33" s="26" customFormat="1" ht="24" customHeight="1">
      <c r="A387" s="18">
        <f>A382+1</f>
        <v>330</v>
      </c>
      <c r="B387" s="37" t="s">
        <v>177</v>
      </c>
      <c r="C387" s="4">
        <f>D387+F387+G387+H387+I387+K387+L387+M387+O387+P387+Q387+R387+S387+W387+V387+X387</f>
        <v>6075603.3200000003</v>
      </c>
      <c r="D387" s="9"/>
      <c r="E387" s="9"/>
      <c r="F387" s="9"/>
      <c r="G387" s="12"/>
      <c r="H387" s="13"/>
      <c r="I387" s="13"/>
      <c r="J387" s="21"/>
      <c r="K387" s="9"/>
      <c r="L387" s="12"/>
      <c r="M387" s="22"/>
      <c r="N387" s="204">
        <v>2</v>
      </c>
      <c r="O387" s="47">
        <f>(2*3037801.66-V387)/101.5*100</f>
        <v>5836170.6799999997</v>
      </c>
      <c r="P387" s="9"/>
      <c r="Q387" s="9"/>
      <c r="R387" s="9"/>
      <c r="S387" s="13"/>
      <c r="T387" s="110"/>
      <c r="U387" s="110"/>
      <c r="V387" s="3">
        <v>151890.07999999999</v>
      </c>
      <c r="W387" s="41">
        <f>O387*1.5/100</f>
        <v>87542.56</v>
      </c>
      <c r="X387" s="21"/>
      <c r="Y387" s="21"/>
      <c r="Z387" s="21"/>
      <c r="AA387" s="21"/>
      <c r="AB387" s="24">
        <f>C387</f>
        <v>6075603.3200000003</v>
      </c>
      <c r="AC387" s="18"/>
      <c r="AD387" s="18">
        <v>2023</v>
      </c>
      <c r="AE387" s="18">
        <v>2023</v>
      </c>
      <c r="AF387" s="25"/>
      <c r="AG387" s="91"/>
    </row>
    <row r="388" spans="1:33" s="26" customFormat="1" ht="24" customHeight="1">
      <c r="A388" s="18">
        <f>A387+1</f>
        <v>331</v>
      </c>
      <c r="B388" s="37" t="s">
        <v>178</v>
      </c>
      <c r="C388" s="4">
        <f>D388+F388+G388+H388+I388+K388+L388+M388+O388+P388+Q388+R388+S388+W388+V388+X388</f>
        <v>3037801.66</v>
      </c>
      <c r="D388" s="9"/>
      <c r="E388" s="9"/>
      <c r="F388" s="9"/>
      <c r="G388" s="12"/>
      <c r="H388" s="13"/>
      <c r="I388" s="13"/>
      <c r="J388" s="21"/>
      <c r="K388" s="9"/>
      <c r="L388" s="12"/>
      <c r="M388" s="22"/>
      <c r="N388" s="204">
        <v>1</v>
      </c>
      <c r="O388" s="47">
        <f>(1*3037801.66-V388)/101.5*100</f>
        <v>2918085.34</v>
      </c>
      <c r="P388" s="9"/>
      <c r="Q388" s="9"/>
      <c r="R388" s="9"/>
      <c r="S388" s="13"/>
      <c r="T388" s="110"/>
      <c r="U388" s="110"/>
      <c r="V388" s="3">
        <v>75945.039999999994</v>
      </c>
      <c r="W388" s="41">
        <f t="shared" ref="W388:W389" si="176">O388*1.5/100</f>
        <v>43771.28</v>
      </c>
      <c r="X388" s="21"/>
      <c r="Y388" s="21"/>
      <c r="Z388" s="21"/>
      <c r="AA388" s="21"/>
      <c r="AB388" s="24">
        <f t="shared" ref="AB388:AB390" si="177">C388</f>
        <v>3037801.66</v>
      </c>
      <c r="AC388" s="18"/>
      <c r="AD388" s="18">
        <v>2023</v>
      </c>
      <c r="AE388" s="18">
        <v>2023</v>
      </c>
      <c r="AF388" s="25"/>
      <c r="AG388" s="91"/>
    </row>
    <row r="389" spans="1:33" s="26" customFormat="1" ht="24" customHeight="1">
      <c r="A389" s="18">
        <f t="shared" ref="A389:A390" si="178">A388+1</f>
        <v>332</v>
      </c>
      <c r="B389" s="37" t="s">
        <v>179</v>
      </c>
      <c r="C389" s="4">
        <f>D389+F389+G389+H389+I389+K389+L389+M389+O389+P389+Q389+R389+S389+W389+V389+X389</f>
        <v>3037801.66</v>
      </c>
      <c r="D389" s="9"/>
      <c r="E389" s="9"/>
      <c r="F389" s="9"/>
      <c r="G389" s="12"/>
      <c r="H389" s="13"/>
      <c r="I389" s="13"/>
      <c r="J389" s="21"/>
      <c r="K389" s="9"/>
      <c r="L389" s="12"/>
      <c r="M389" s="22"/>
      <c r="N389" s="204">
        <v>1</v>
      </c>
      <c r="O389" s="47">
        <f>(1*3037801.66-V389)/101.5*100</f>
        <v>2918085.34</v>
      </c>
      <c r="P389" s="9"/>
      <c r="Q389" s="9"/>
      <c r="R389" s="9"/>
      <c r="S389" s="13"/>
      <c r="T389" s="110"/>
      <c r="U389" s="110"/>
      <c r="V389" s="3">
        <v>75945.039999999994</v>
      </c>
      <c r="W389" s="41">
        <f t="shared" si="176"/>
        <v>43771.28</v>
      </c>
      <c r="X389" s="21"/>
      <c r="Y389" s="21"/>
      <c r="Z389" s="21"/>
      <c r="AA389" s="21"/>
      <c r="AB389" s="24">
        <f t="shared" si="177"/>
        <v>3037801.66</v>
      </c>
      <c r="AC389" s="18"/>
      <c r="AD389" s="18">
        <v>2023</v>
      </c>
      <c r="AE389" s="18">
        <v>2023</v>
      </c>
      <c r="AF389" s="25"/>
      <c r="AG389" s="91"/>
    </row>
    <row r="390" spans="1:33" s="26" customFormat="1" ht="24" customHeight="1">
      <c r="A390" s="18">
        <f t="shared" si="178"/>
        <v>333</v>
      </c>
      <c r="B390" s="37" t="s">
        <v>466</v>
      </c>
      <c r="C390" s="4">
        <f>D390+F390+G390+H390+I390+K390+L390+M390+O390+P390+Q390+R390+S390+W390+V390+X390</f>
        <v>9324938.1199999992</v>
      </c>
      <c r="D390" s="9"/>
      <c r="E390" s="9"/>
      <c r="F390" s="9"/>
      <c r="G390" s="12"/>
      <c r="H390" s="13"/>
      <c r="I390" s="13"/>
      <c r="J390" s="21"/>
      <c r="K390" s="9"/>
      <c r="L390" s="12"/>
      <c r="M390" s="22"/>
      <c r="N390" s="204"/>
      <c r="O390" s="47"/>
      <c r="P390" s="9">
        <v>8755810.4399999995</v>
      </c>
      <c r="Q390" s="9"/>
      <c r="R390" s="9"/>
      <c r="S390" s="13"/>
      <c r="T390" s="110"/>
      <c r="U390" s="110"/>
      <c r="V390" s="3">
        <v>437790.52</v>
      </c>
      <c r="W390" s="41">
        <v>131337.16</v>
      </c>
      <c r="X390" s="21"/>
      <c r="Y390" s="21"/>
      <c r="Z390" s="21"/>
      <c r="AA390" s="21"/>
      <c r="AB390" s="24">
        <f t="shared" si="177"/>
        <v>9324938.1199999992</v>
      </c>
      <c r="AC390" s="18"/>
      <c r="AD390" s="18">
        <v>2023</v>
      </c>
      <c r="AE390" s="18">
        <v>2024</v>
      </c>
      <c r="AF390" s="25"/>
      <c r="AG390" s="91"/>
    </row>
    <row r="391" spans="1:33" s="95" customFormat="1" ht="24" customHeight="1">
      <c r="A391" s="883" t="s">
        <v>42</v>
      </c>
      <c r="B391" s="883"/>
      <c r="C391" s="16">
        <f>SUM(C387:C390)</f>
        <v>21476144.760000002</v>
      </c>
      <c r="D391" s="16">
        <f t="shared" ref="D391:AC391" si="179">SUM(D387:D390)</f>
        <v>0</v>
      </c>
      <c r="E391" s="16">
        <f t="shared" si="179"/>
        <v>0</v>
      </c>
      <c r="F391" s="16">
        <f t="shared" si="179"/>
        <v>0</v>
      </c>
      <c r="G391" s="16">
        <f t="shared" si="179"/>
        <v>0</v>
      </c>
      <c r="H391" s="16">
        <f t="shared" si="179"/>
        <v>0</v>
      </c>
      <c r="I391" s="16">
        <f t="shared" si="179"/>
        <v>0</v>
      </c>
      <c r="J391" s="16">
        <f t="shared" si="179"/>
        <v>0</v>
      </c>
      <c r="K391" s="16">
        <f t="shared" si="179"/>
        <v>0</v>
      </c>
      <c r="L391" s="16">
        <f t="shared" si="179"/>
        <v>0</v>
      </c>
      <c r="M391" s="16">
        <f t="shared" si="179"/>
        <v>0</v>
      </c>
      <c r="N391" s="396">
        <f t="shared" si="179"/>
        <v>4</v>
      </c>
      <c r="O391" s="16">
        <f t="shared" si="179"/>
        <v>11672341.359999999</v>
      </c>
      <c r="P391" s="16">
        <f t="shared" si="179"/>
        <v>8755810.4399999995</v>
      </c>
      <c r="Q391" s="16">
        <f t="shared" si="179"/>
        <v>0</v>
      </c>
      <c r="R391" s="16">
        <f t="shared" si="179"/>
        <v>0</v>
      </c>
      <c r="S391" s="16">
        <f t="shared" si="179"/>
        <v>0</v>
      </c>
      <c r="T391" s="141"/>
      <c r="U391" s="141"/>
      <c r="V391" s="16">
        <f t="shared" si="179"/>
        <v>741570.68</v>
      </c>
      <c r="W391" s="16">
        <f t="shared" si="179"/>
        <v>306422.28000000003</v>
      </c>
      <c r="X391" s="16">
        <f t="shared" si="179"/>
        <v>0</v>
      </c>
      <c r="Y391" s="16">
        <f t="shared" si="179"/>
        <v>0</v>
      </c>
      <c r="Z391" s="16">
        <f t="shared" si="179"/>
        <v>0</v>
      </c>
      <c r="AA391" s="16">
        <f t="shared" si="179"/>
        <v>0</v>
      </c>
      <c r="AB391" s="16">
        <f t="shared" si="179"/>
        <v>21476144.760000002</v>
      </c>
      <c r="AC391" s="16">
        <f t="shared" si="179"/>
        <v>0</v>
      </c>
      <c r="AD391" s="798" t="s">
        <v>29</v>
      </c>
      <c r="AE391" s="798" t="s">
        <v>29</v>
      </c>
      <c r="AF391" s="94"/>
      <c r="AG391" s="145"/>
    </row>
    <row r="392" spans="1:33" ht="24" customHeight="1">
      <c r="A392" s="884" t="s">
        <v>1297</v>
      </c>
      <c r="B392" s="884"/>
      <c r="C392" s="884"/>
      <c r="D392" s="884"/>
      <c r="E392" s="884"/>
      <c r="F392" s="884"/>
      <c r="G392" s="884"/>
      <c r="H392" s="884"/>
      <c r="I392" s="884"/>
      <c r="J392" s="884"/>
      <c r="K392" s="884"/>
      <c r="L392" s="884"/>
      <c r="M392" s="884"/>
      <c r="N392" s="884"/>
      <c r="O392" s="884"/>
      <c r="P392" s="884"/>
      <c r="Q392" s="884"/>
      <c r="R392" s="884"/>
      <c r="S392" s="884"/>
      <c r="T392" s="884"/>
      <c r="U392" s="884"/>
      <c r="V392" s="884"/>
      <c r="W392" s="884"/>
      <c r="X392" s="884"/>
      <c r="Y392" s="884"/>
      <c r="Z392" s="884"/>
      <c r="AA392" s="884"/>
      <c r="AB392" s="884"/>
      <c r="AC392" s="884"/>
      <c r="AD392" s="884"/>
      <c r="AE392" s="884"/>
      <c r="AF392" s="808"/>
      <c r="AG392" s="806"/>
    </row>
    <row r="393" spans="1:33" s="26" customFormat="1" ht="24" customHeight="1">
      <c r="A393" s="18">
        <f>A390+1</f>
        <v>334</v>
      </c>
      <c r="B393" s="37" t="s">
        <v>257</v>
      </c>
      <c r="C393" s="4">
        <f>D393+F393+G393+H393+I393+K393+L393+M393+O393+P393+Q393+R393+S393+W393+V393+X393</f>
        <v>2291617.42</v>
      </c>
      <c r="D393" s="9"/>
      <c r="E393" s="9"/>
      <c r="F393" s="9"/>
      <c r="G393" s="12"/>
      <c r="H393" s="13"/>
      <c r="I393" s="13"/>
      <c r="J393" s="21"/>
      <c r="K393" s="9"/>
      <c r="L393" s="12"/>
      <c r="M393" s="22"/>
      <c r="N393" s="807"/>
      <c r="O393" s="12"/>
      <c r="P393" s="9"/>
      <c r="Q393" s="9"/>
      <c r="R393" s="9"/>
      <c r="S393" s="13">
        <f>1244.6*1462.9</f>
        <v>1820725.34</v>
      </c>
      <c r="T393" s="110"/>
      <c r="U393" s="110"/>
      <c r="V393" s="3">
        <v>443581.2</v>
      </c>
      <c r="W393" s="24">
        <f>S393*1.5%</f>
        <v>27310.880000000001</v>
      </c>
      <c r="X393" s="21"/>
      <c r="Y393" s="21"/>
      <c r="Z393" s="21"/>
      <c r="AA393" s="21"/>
      <c r="AB393" s="24">
        <f>C393</f>
        <v>2291617.42</v>
      </c>
      <c r="AC393" s="18"/>
      <c r="AD393" s="18">
        <v>2023</v>
      </c>
      <c r="AE393" s="18">
        <v>2023</v>
      </c>
      <c r="AF393" s="25"/>
      <c r="AG393" s="91"/>
    </row>
    <row r="394" spans="1:33" s="26" customFormat="1" ht="24" customHeight="1">
      <c r="A394" s="18">
        <f>A393+1</f>
        <v>335</v>
      </c>
      <c r="B394" s="37" t="s">
        <v>1238</v>
      </c>
      <c r="C394" s="4">
        <f>D394+F394+G394+H394+I394+K394+L394+M394+O394+P394+Q394+R394+S394+W394+V394+X394</f>
        <v>12488241.67</v>
      </c>
      <c r="D394" s="9"/>
      <c r="E394" s="9"/>
      <c r="F394" s="9"/>
      <c r="G394" s="12"/>
      <c r="H394" s="13"/>
      <c r="I394" s="13"/>
      <c r="J394" s="21"/>
      <c r="K394" s="9"/>
      <c r="L394" s="12"/>
      <c r="M394" s="22"/>
      <c r="N394" s="807"/>
      <c r="O394" s="12"/>
      <c r="P394" s="9">
        <v>11552145.880000001</v>
      </c>
      <c r="Q394" s="9"/>
      <c r="R394" s="9"/>
      <c r="S394" s="13"/>
      <c r="T394" s="110"/>
      <c r="U394" s="110"/>
      <c r="V394" s="3">
        <v>762813.6</v>
      </c>
      <c r="W394" s="24">
        <v>173282.19</v>
      </c>
      <c r="X394" s="21"/>
      <c r="Y394" s="21"/>
      <c r="Z394" s="21"/>
      <c r="AA394" s="21"/>
      <c r="AB394" s="24">
        <f>C394</f>
        <v>12488241.67</v>
      </c>
      <c r="AC394" s="18"/>
      <c r="AD394" s="18">
        <v>2023</v>
      </c>
      <c r="AE394" s="18">
        <v>2024</v>
      </c>
      <c r="AF394" s="25"/>
      <c r="AG394" s="91"/>
    </row>
    <row r="395" spans="1:33" s="148" customFormat="1" ht="24" customHeight="1">
      <c r="A395" s="883" t="s">
        <v>42</v>
      </c>
      <c r="B395" s="883"/>
      <c r="C395" s="16">
        <f>SUM(C393:C394)</f>
        <v>14779859.09</v>
      </c>
      <c r="D395" s="16">
        <f t="shared" ref="D395:AB395" si="180">SUM(D393:D394)</f>
        <v>0</v>
      </c>
      <c r="E395" s="16">
        <f t="shared" si="180"/>
        <v>0</v>
      </c>
      <c r="F395" s="16">
        <f t="shared" si="180"/>
        <v>0</v>
      </c>
      <c r="G395" s="16">
        <f t="shared" si="180"/>
        <v>0</v>
      </c>
      <c r="H395" s="16">
        <f t="shared" si="180"/>
        <v>0</v>
      </c>
      <c r="I395" s="16">
        <f t="shared" si="180"/>
        <v>0</v>
      </c>
      <c r="J395" s="16">
        <f t="shared" si="180"/>
        <v>0</v>
      </c>
      <c r="K395" s="16">
        <f t="shared" si="180"/>
        <v>0</v>
      </c>
      <c r="L395" s="16">
        <f t="shared" si="180"/>
        <v>0</v>
      </c>
      <c r="M395" s="16">
        <f t="shared" si="180"/>
        <v>0</v>
      </c>
      <c r="N395" s="16">
        <f t="shared" si="180"/>
        <v>0</v>
      </c>
      <c r="O395" s="16">
        <f t="shared" si="180"/>
        <v>0</v>
      </c>
      <c r="P395" s="16">
        <f t="shared" si="180"/>
        <v>11552145.880000001</v>
      </c>
      <c r="Q395" s="16">
        <f t="shared" si="180"/>
        <v>0</v>
      </c>
      <c r="R395" s="16">
        <f t="shared" si="180"/>
        <v>0</v>
      </c>
      <c r="S395" s="16">
        <f t="shared" si="180"/>
        <v>1820725.34</v>
      </c>
      <c r="T395" s="141"/>
      <c r="U395" s="141"/>
      <c r="V395" s="16">
        <f t="shared" si="180"/>
        <v>1206394.8</v>
      </c>
      <c r="W395" s="16">
        <f t="shared" si="180"/>
        <v>200593.07</v>
      </c>
      <c r="X395" s="16">
        <f t="shared" si="180"/>
        <v>0</v>
      </c>
      <c r="Y395" s="16">
        <f t="shared" si="180"/>
        <v>0</v>
      </c>
      <c r="Z395" s="16">
        <f t="shared" si="180"/>
        <v>0</v>
      </c>
      <c r="AA395" s="16">
        <f t="shared" si="180"/>
        <v>0</v>
      </c>
      <c r="AB395" s="16">
        <f t="shared" si="180"/>
        <v>14779859.09</v>
      </c>
      <c r="AC395" s="798"/>
      <c r="AD395" s="798" t="s">
        <v>29</v>
      </c>
      <c r="AE395" s="798" t="s">
        <v>29</v>
      </c>
      <c r="AF395" s="146"/>
      <c r="AG395" s="147"/>
    </row>
    <row r="396" spans="1:33" s="148" customFormat="1" ht="24" customHeight="1">
      <c r="A396" s="881" t="s">
        <v>1298</v>
      </c>
      <c r="B396" s="882"/>
      <c r="C396" s="16">
        <f>C395+C391</f>
        <v>36256003.850000001</v>
      </c>
      <c r="D396" s="16">
        <f t="shared" ref="D396:AC396" si="181">D395+D391</f>
        <v>0</v>
      </c>
      <c r="E396" s="16">
        <f t="shared" si="181"/>
        <v>0</v>
      </c>
      <c r="F396" s="16">
        <f t="shared" si="181"/>
        <v>0</v>
      </c>
      <c r="G396" s="6">
        <f t="shared" si="181"/>
        <v>0</v>
      </c>
      <c r="H396" s="16">
        <f t="shared" si="181"/>
        <v>0</v>
      </c>
      <c r="I396" s="16">
        <f t="shared" si="181"/>
        <v>0</v>
      </c>
      <c r="J396" s="16">
        <f t="shared" si="181"/>
        <v>0</v>
      </c>
      <c r="K396" s="16">
        <f t="shared" si="181"/>
        <v>0</v>
      </c>
      <c r="L396" s="16">
        <f t="shared" si="181"/>
        <v>0</v>
      </c>
      <c r="M396" s="16">
        <f t="shared" si="181"/>
        <v>0</v>
      </c>
      <c r="N396" s="798">
        <f t="shared" si="181"/>
        <v>4</v>
      </c>
      <c r="O396" s="16">
        <f t="shared" si="181"/>
        <v>11672341.359999999</v>
      </c>
      <c r="P396" s="16">
        <f t="shared" si="181"/>
        <v>20307956.32</v>
      </c>
      <c r="Q396" s="16">
        <f t="shared" si="181"/>
        <v>0</v>
      </c>
      <c r="R396" s="16">
        <f t="shared" si="181"/>
        <v>0</v>
      </c>
      <c r="S396" s="16">
        <f t="shared" si="181"/>
        <v>1820725.34</v>
      </c>
      <c r="T396" s="141"/>
      <c r="U396" s="141"/>
      <c r="V396" s="16">
        <f t="shared" si="181"/>
        <v>1947965.48</v>
      </c>
      <c r="W396" s="16">
        <f t="shared" si="181"/>
        <v>507015.35</v>
      </c>
      <c r="X396" s="16">
        <f t="shared" si="181"/>
        <v>0</v>
      </c>
      <c r="Y396" s="16">
        <f t="shared" si="181"/>
        <v>0</v>
      </c>
      <c r="Z396" s="16">
        <f t="shared" si="181"/>
        <v>0</v>
      </c>
      <c r="AA396" s="16">
        <f t="shared" si="181"/>
        <v>0</v>
      </c>
      <c r="AB396" s="16">
        <f t="shared" si="181"/>
        <v>36256003.850000001</v>
      </c>
      <c r="AC396" s="16">
        <f t="shared" si="181"/>
        <v>0</v>
      </c>
      <c r="AD396" s="798"/>
      <c r="AE396" s="798"/>
      <c r="AF396" s="146"/>
      <c r="AG396" s="147"/>
    </row>
    <row r="397" spans="1:33" s="148" customFormat="1" ht="24" customHeight="1">
      <c r="A397" s="885" t="s">
        <v>1299</v>
      </c>
      <c r="B397" s="886"/>
      <c r="C397" s="886"/>
      <c r="D397" s="886"/>
      <c r="E397" s="886"/>
      <c r="F397" s="886"/>
      <c r="G397" s="886"/>
      <c r="H397" s="886"/>
      <c r="I397" s="886"/>
      <c r="J397" s="886"/>
      <c r="K397" s="886"/>
      <c r="L397" s="886"/>
      <c r="M397" s="886"/>
      <c r="N397" s="886"/>
      <c r="O397" s="886"/>
      <c r="P397" s="886"/>
      <c r="Q397" s="886"/>
      <c r="R397" s="886"/>
      <c r="S397" s="886"/>
      <c r="T397" s="886"/>
      <c r="U397" s="886"/>
      <c r="V397" s="886"/>
      <c r="W397" s="886"/>
      <c r="X397" s="886"/>
      <c r="Y397" s="886"/>
      <c r="Z397" s="886"/>
      <c r="AA397" s="886"/>
      <c r="AB397" s="886"/>
      <c r="AC397" s="886"/>
      <c r="AD397" s="886"/>
      <c r="AE397" s="887"/>
      <c r="AF397" s="146"/>
      <c r="AG397" s="147"/>
    </row>
    <row r="398" spans="1:33" ht="24" customHeight="1">
      <c r="A398" s="884" t="s">
        <v>1300</v>
      </c>
      <c r="B398" s="884"/>
      <c r="C398" s="884"/>
      <c r="D398" s="884"/>
      <c r="E398" s="884"/>
      <c r="F398" s="884"/>
      <c r="G398" s="884"/>
      <c r="H398" s="884"/>
      <c r="I398" s="884"/>
      <c r="J398" s="884"/>
      <c r="K398" s="884"/>
      <c r="L398" s="884"/>
      <c r="M398" s="884"/>
      <c r="N398" s="884"/>
      <c r="O398" s="884"/>
      <c r="P398" s="884"/>
      <c r="Q398" s="884"/>
      <c r="R398" s="884"/>
      <c r="S398" s="884"/>
      <c r="T398" s="884"/>
      <c r="U398" s="884"/>
      <c r="V398" s="884"/>
      <c r="W398" s="884"/>
      <c r="X398" s="884"/>
      <c r="Y398" s="884"/>
      <c r="Z398" s="884"/>
      <c r="AA398" s="884"/>
      <c r="AB398" s="884"/>
      <c r="AC398" s="884"/>
      <c r="AD398" s="884"/>
      <c r="AE398" s="884"/>
      <c r="AF398" s="808"/>
      <c r="AG398" s="806"/>
    </row>
    <row r="399" spans="1:33" s="26" customFormat="1" ht="24" customHeight="1">
      <c r="A399" s="18">
        <f>A394+1</f>
        <v>336</v>
      </c>
      <c r="B399" s="55" t="s">
        <v>376</v>
      </c>
      <c r="C399" s="4">
        <f>D399+F399+G399+H399+I399+K399+L399+M399+O399+P399+Q399+R399+S399+W399+V399+X399</f>
        <v>1795806.27</v>
      </c>
      <c r="D399" s="9"/>
      <c r="E399" s="731">
        <v>1</v>
      </c>
      <c r="F399" s="9">
        <v>1548855.09</v>
      </c>
      <c r="G399" s="12"/>
      <c r="H399" s="13"/>
      <c r="I399" s="13"/>
      <c r="J399" s="21"/>
      <c r="K399" s="9"/>
      <c r="L399" s="12"/>
      <c r="M399" s="22"/>
      <c r="N399" s="807"/>
      <c r="O399" s="12"/>
      <c r="P399" s="9"/>
      <c r="Q399" s="9"/>
      <c r="R399" s="9"/>
      <c r="S399" s="13"/>
      <c r="T399" s="110"/>
      <c r="U399" s="110"/>
      <c r="V399" s="58">
        <v>222880</v>
      </c>
      <c r="W399" s="24">
        <v>24071.18</v>
      </c>
      <c r="X399" s="21"/>
      <c r="Y399" s="21"/>
      <c r="Z399" s="24">
        <f>C399</f>
        <v>1795806.27</v>
      </c>
      <c r="AA399" s="21"/>
      <c r="AB399" s="24">
        <f>C399-Z399</f>
        <v>0</v>
      </c>
      <c r="AC399" s="18"/>
      <c r="AD399" s="18">
        <v>2023</v>
      </c>
      <c r="AE399" s="18">
        <v>2023</v>
      </c>
      <c r="AF399" s="25"/>
      <c r="AG399" s="91"/>
    </row>
    <row r="400" spans="1:33" s="26" customFormat="1" ht="24" customHeight="1">
      <c r="A400" s="18">
        <f>A399+1</f>
        <v>337</v>
      </c>
      <c r="B400" s="55" t="s">
        <v>388</v>
      </c>
      <c r="C400" s="4">
        <f t="shared" ref="C400:C407" si="182">D400+F400+G400+H400+I400+K400+L400+M400+O400+P400+Q400+R400+S400+W400+V400+X400</f>
        <v>1576174.78</v>
      </c>
      <c r="D400" s="9"/>
      <c r="E400" s="731">
        <v>1</v>
      </c>
      <c r="F400" s="9">
        <v>1362823.6</v>
      </c>
      <c r="G400" s="12"/>
      <c r="H400" s="13"/>
      <c r="I400" s="13"/>
      <c r="J400" s="21"/>
      <c r="K400" s="9"/>
      <c r="L400" s="12"/>
      <c r="M400" s="22"/>
      <c r="N400" s="807"/>
      <c r="O400" s="12"/>
      <c r="P400" s="9"/>
      <c r="Q400" s="9"/>
      <c r="R400" s="9"/>
      <c r="S400" s="13"/>
      <c r="T400" s="110"/>
      <c r="U400" s="110"/>
      <c r="V400" s="58">
        <v>189280</v>
      </c>
      <c r="W400" s="24">
        <v>24071.18</v>
      </c>
      <c r="X400" s="21"/>
      <c r="Y400" s="21"/>
      <c r="Z400" s="24"/>
      <c r="AA400" s="21"/>
      <c r="AB400" s="24">
        <f>C400</f>
        <v>1576174.78</v>
      </c>
      <c r="AC400" s="18"/>
      <c r="AD400" s="18">
        <v>2023</v>
      </c>
      <c r="AE400" s="18">
        <v>2023</v>
      </c>
      <c r="AF400" s="25"/>
      <c r="AG400" s="91"/>
    </row>
    <row r="401" spans="1:33" s="26" customFormat="1" ht="24" customHeight="1">
      <c r="A401" s="18">
        <f t="shared" ref="A401:A407" si="183">A400+1</f>
        <v>338</v>
      </c>
      <c r="B401" s="55" t="s">
        <v>455</v>
      </c>
      <c r="C401" s="4">
        <f t="shared" si="182"/>
        <v>1576174.78</v>
      </c>
      <c r="D401" s="9"/>
      <c r="E401" s="731">
        <v>1</v>
      </c>
      <c r="F401" s="9">
        <v>1362823.6</v>
      </c>
      <c r="G401" s="12"/>
      <c r="H401" s="13"/>
      <c r="I401" s="13"/>
      <c r="J401" s="21"/>
      <c r="K401" s="9"/>
      <c r="L401" s="12"/>
      <c r="M401" s="22"/>
      <c r="N401" s="807"/>
      <c r="O401" s="12"/>
      <c r="P401" s="9"/>
      <c r="Q401" s="9"/>
      <c r="R401" s="9"/>
      <c r="S401" s="13"/>
      <c r="T401" s="110"/>
      <c r="U401" s="110"/>
      <c r="V401" s="58">
        <v>189280</v>
      </c>
      <c r="W401" s="24">
        <v>24071.18</v>
      </c>
      <c r="X401" s="21"/>
      <c r="Y401" s="21"/>
      <c r="Z401" s="24">
        <f>C401</f>
        <v>1576174.78</v>
      </c>
      <c r="AA401" s="21"/>
      <c r="AB401" s="24"/>
      <c r="AC401" s="18"/>
      <c r="AD401" s="18">
        <v>2023</v>
      </c>
      <c r="AE401" s="18">
        <v>2023</v>
      </c>
      <c r="AF401" s="25"/>
      <c r="AG401" s="91"/>
    </row>
    <row r="402" spans="1:33" s="26" customFormat="1" ht="24" customHeight="1">
      <c r="A402" s="18">
        <f t="shared" si="183"/>
        <v>339</v>
      </c>
      <c r="B402" s="55" t="s">
        <v>377</v>
      </c>
      <c r="C402" s="4">
        <f t="shared" si="182"/>
        <v>1795793.15</v>
      </c>
      <c r="D402" s="9"/>
      <c r="E402" s="731">
        <v>1</v>
      </c>
      <c r="F402" s="9">
        <v>1548841.97</v>
      </c>
      <c r="G402" s="12"/>
      <c r="H402" s="13"/>
      <c r="I402" s="13"/>
      <c r="J402" s="21"/>
      <c r="K402" s="9"/>
      <c r="L402" s="12"/>
      <c r="M402" s="22"/>
      <c r="N402" s="807"/>
      <c r="O402" s="12"/>
      <c r="P402" s="9"/>
      <c r="Q402" s="9"/>
      <c r="R402" s="9"/>
      <c r="S402" s="13"/>
      <c r="T402" s="110"/>
      <c r="U402" s="110"/>
      <c r="V402" s="58">
        <v>222880</v>
      </c>
      <c r="W402" s="24">
        <v>24071.18</v>
      </c>
      <c r="X402" s="21"/>
      <c r="Y402" s="21"/>
      <c r="Z402" s="24">
        <f>C402</f>
        <v>1795793.15</v>
      </c>
      <c r="AA402" s="21"/>
      <c r="AB402" s="24">
        <f>C402-Z402</f>
        <v>0</v>
      </c>
      <c r="AC402" s="18"/>
      <c r="AD402" s="18">
        <v>2023</v>
      </c>
      <c r="AE402" s="18">
        <v>2023</v>
      </c>
      <c r="AF402" s="25"/>
      <c r="AG402" s="91"/>
    </row>
    <row r="403" spans="1:33" s="26" customFormat="1" ht="24" customHeight="1">
      <c r="A403" s="18">
        <f t="shared" si="183"/>
        <v>340</v>
      </c>
      <c r="B403" s="55" t="s">
        <v>375</v>
      </c>
      <c r="C403" s="4">
        <f t="shared" si="182"/>
        <v>1795793.14</v>
      </c>
      <c r="D403" s="9"/>
      <c r="E403" s="731">
        <v>1</v>
      </c>
      <c r="F403" s="9">
        <v>1548841.97</v>
      </c>
      <c r="G403" s="12"/>
      <c r="H403" s="13"/>
      <c r="I403" s="13"/>
      <c r="J403" s="21"/>
      <c r="K403" s="9"/>
      <c r="L403" s="12"/>
      <c r="M403" s="22"/>
      <c r="N403" s="807"/>
      <c r="O403" s="12"/>
      <c r="P403" s="9"/>
      <c r="Q403" s="9"/>
      <c r="R403" s="9"/>
      <c r="S403" s="13"/>
      <c r="T403" s="110"/>
      <c r="U403" s="110"/>
      <c r="V403" s="58">
        <v>222880</v>
      </c>
      <c r="W403" s="24">
        <v>24071.17</v>
      </c>
      <c r="X403" s="21"/>
      <c r="Y403" s="21"/>
      <c r="Z403" s="24">
        <f>C403</f>
        <v>1795793.14</v>
      </c>
      <c r="AA403" s="21"/>
      <c r="AB403" s="24">
        <f>C403-Z403</f>
        <v>0</v>
      </c>
      <c r="AC403" s="18"/>
      <c r="AD403" s="18">
        <v>2023</v>
      </c>
      <c r="AE403" s="18">
        <v>2023</v>
      </c>
      <c r="AF403" s="25"/>
      <c r="AG403" s="91"/>
    </row>
    <row r="404" spans="1:33" s="26" customFormat="1" ht="24" customHeight="1">
      <c r="A404" s="18">
        <f t="shared" si="183"/>
        <v>341</v>
      </c>
      <c r="B404" s="55" t="s">
        <v>389</v>
      </c>
      <c r="C404" s="4">
        <f t="shared" si="182"/>
        <v>1576174.78</v>
      </c>
      <c r="D404" s="9"/>
      <c r="E404" s="731">
        <v>1</v>
      </c>
      <c r="F404" s="9">
        <v>1362823.6</v>
      </c>
      <c r="G404" s="12"/>
      <c r="H404" s="13"/>
      <c r="I404" s="13"/>
      <c r="J404" s="21"/>
      <c r="K404" s="9"/>
      <c r="L404" s="12"/>
      <c r="M404" s="22"/>
      <c r="N404" s="807"/>
      <c r="O404" s="12"/>
      <c r="P404" s="9"/>
      <c r="Q404" s="9"/>
      <c r="R404" s="9"/>
      <c r="S404" s="13"/>
      <c r="T404" s="110"/>
      <c r="U404" s="110"/>
      <c r="V404" s="58">
        <v>189280</v>
      </c>
      <c r="W404" s="24">
        <v>24071.18</v>
      </c>
      <c r="X404" s="21"/>
      <c r="Y404" s="21"/>
      <c r="Z404" s="24"/>
      <c r="AA404" s="21"/>
      <c r="AB404" s="24">
        <f>C404</f>
        <v>1576174.78</v>
      </c>
      <c r="AC404" s="18"/>
      <c r="AD404" s="18">
        <v>2023</v>
      </c>
      <c r="AE404" s="18">
        <v>2023</v>
      </c>
      <c r="AF404" s="25"/>
      <c r="AG404" s="91"/>
    </row>
    <row r="405" spans="1:33" s="26" customFormat="1" ht="24" customHeight="1">
      <c r="A405" s="18">
        <f t="shared" si="183"/>
        <v>342</v>
      </c>
      <c r="B405" s="55" t="s">
        <v>390</v>
      </c>
      <c r="C405" s="4">
        <f t="shared" si="182"/>
        <v>1576174.78</v>
      </c>
      <c r="D405" s="9"/>
      <c r="E405" s="731">
        <v>1</v>
      </c>
      <c r="F405" s="9">
        <v>1362823.6</v>
      </c>
      <c r="G405" s="12"/>
      <c r="H405" s="13"/>
      <c r="I405" s="13"/>
      <c r="J405" s="21"/>
      <c r="K405" s="9"/>
      <c r="L405" s="12"/>
      <c r="M405" s="22"/>
      <c r="N405" s="807"/>
      <c r="O405" s="12"/>
      <c r="P405" s="9"/>
      <c r="Q405" s="9"/>
      <c r="R405" s="9"/>
      <c r="S405" s="13"/>
      <c r="T405" s="110"/>
      <c r="U405" s="110"/>
      <c r="V405" s="58">
        <v>189280</v>
      </c>
      <c r="W405" s="24">
        <v>24071.18</v>
      </c>
      <c r="X405" s="21"/>
      <c r="Y405" s="21"/>
      <c r="Z405" s="24"/>
      <c r="AA405" s="21"/>
      <c r="AB405" s="24">
        <f t="shared" ref="AB405:AB406" si="184">C405</f>
        <v>1576174.78</v>
      </c>
      <c r="AC405" s="18"/>
      <c r="AD405" s="18">
        <v>2023</v>
      </c>
      <c r="AE405" s="18">
        <v>2023</v>
      </c>
      <c r="AF405" s="25"/>
      <c r="AG405" s="91"/>
    </row>
    <row r="406" spans="1:33" s="26" customFormat="1" ht="24" customHeight="1">
      <c r="A406" s="18">
        <f t="shared" si="183"/>
        <v>343</v>
      </c>
      <c r="B406" s="55" t="s">
        <v>391</v>
      </c>
      <c r="C406" s="4">
        <f t="shared" si="182"/>
        <v>1576174.78</v>
      </c>
      <c r="D406" s="9"/>
      <c r="E406" s="731">
        <v>1</v>
      </c>
      <c r="F406" s="9">
        <v>1362823.6</v>
      </c>
      <c r="G406" s="12"/>
      <c r="H406" s="13"/>
      <c r="I406" s="13"/>
      <c r="J406" s="21"/>
      <c r="K406" s="9"/>
      <c r="L406" s="12"/>
      <c r="M406" s="22"/>
      <c r="N406" s="807"/>
      <c r="O406" s="12"/>
      <c r="P406" s="9"/>
      <c r="Q406" s="9"/>
      <c r="R406" s="9"/>
      <c r="S406" s="13"/>
      <c r="T406" s="110"/>
      <c r="U406" s="110"/>
      <c r="V406" s="58">
        <v>189280</v>
      </c>
      <c r="W406" s="24">
        <v>24071.18</v>
      </c>
      <c r="X406" s="21"/>
      <c r="Y406" s="21"/>
      <c r="Z406" s="24"/>
      <c r="AA406" s="21"/>
      <c r="AB406" s="24">
        <f t="shared" si="184"/>
        <v>1576174.78</v>
      </c>
      <c r="AC406" s="18"/>
      <c r="AD406" s="18">
        <v>2023</v>
      </c>
      <c r="AE406" s="18">
        <v>2023</v>
      </c>
      <c r="AF406" s="25"/>
      <c r="AG406" s="91"/>
    </row>
    <row r="407" spans="1:33" s="26" customFormat="1" ht="24" customHeight="1">
      <c r="A407" s="18">
        <f t="shared" si="183"/>
        <v>344</v>
      </c>
      <c r="B407" s="55" t="s">
        <v>457</v>
      </c>
      <c r="C407" s="4">
        <f t="shared" si="182"/>
        <v>3880690.96</v>
      </c>
      <c r="D407" s="9"/>
      <c r="E407" s="731"/>
      <c r="F407" s="9"/>
      <c r="G407" s="12"/>
      <c r="H407" s="13"/>
      <c r="I407" s="13"/>
      <c r="J407" s="21"/>
      <c r="K407" s="9"/>
      <c r="L407" s="12"/>
      <c r="M407" s="22"/>
      <c r="N407" s="807"/>
      <c r="O407" s="12"/>
      <c r="P407" s="9">
        <v>2179714.84</v>
      </c>
      <c r="Q407" s="9"/>
      <c r="R407" s="9">
        <v>1661507.56</v>
      </c>
      <c r="S407" s="13"/>
      <c r="T407" s="110"/>
      <c r="U407" s="110"/>
      <c r="V407" s="58"/>
      <c r="W407" s="24">
        <v>39468.559999999998</v>
      </c>
      <c r="X407" s="21"/>
      <c r="Y407" s="21"/>
      <c r="Z407" s="24">
        <f>C407</f>
        <v>3880690.96</v>
      </c>
      <c r="AA407" s="21"/>
      <c r="AB407" s="24"/>
      <c r="AC407" s="18"/>
      <c r="AD407" s="18">
        <v>2023</v>
      </c>
      <c r="AE407" s="18">
        <v>2023</v>
      </c>
      <c r="AF407" s="25"/>
      <c r="AG407" s="91"/>
    </row>
    <row r="408" spans="1:33" s="95" customFormat="1" ht="24" customHeight="1">
      <c r="A408" s="883" t="s">
        <v>42</v>
      </c>
      <c r="B408" s="883"/>
      <c r="C408" s="16">
        <f>SUM(C399:C407)</f>
        <v>17148957.420000002</v>
      </c>
      <c r="D408" s="16">
        <f t="shared" ref="D408:AC408" si="185">SUM(D399:D407)</f>
        <v>0</v>
      </c>
      <c r="E408" s="845">
        <f t="shared" si="185"/>
        <v>8</v>
      </c>
      <c r="F408" s="16">
        <f t="shared" si="185"/>
        <v>11460657.029999999</v>
      </c>
      <c r="G408" s="16">
        <f t="shared" si="185"/>
        <v>0</v>
      </c>
      <c r="H408" s="16">
        <f t="shared" si="185"/>
        <v>0</v>
      </c>
      <c r="I408" s="16">
        <f t="shared" si="185"/>
        <v>0</v>
      </c>
      <c r="J408" s="16">
        <f t="shared" si="185"/>
        <v>0</v>
      </c>
      <c r="K408" s="16">
        <f t="shared" si="185"/>
        <v>0</v>
      </c>
      <c r="L408" s="16">
        <f t="shared" si="185"/>
        <v>0</v>
      </c>
      <c r="M408" s="16">
        <f t="shared" si="185"/>
        <v>0</v>
      </c>
      <c r="N408" s="16">
        <f t="shared" si="185"/>
        <v>0</v>
      </c>
      <c r="O408" s="16">
        <f t="shared" si="185"/>
        <v>0</v>
      </c>
      <c r="P408" s="16">
        <f t="shared" si="185"/>
        <v>2179714.84</v>
      </c>
      <c r="Q408" s="16">
        <f t="shared" si="185"/>
        <v>0</v>
      </c>
      <c r="R408" s="16">
        <f t="shared" si="185"/>
        <v>1661507.56</v>
      </c>
      <c r="S408" s="16">
        <f t="shared" si="185"/>
        <v>0</v>
      </c>
      <c r="T408" s="141"/>
      <c r="U408" s="141"/>
      <c r="V408" s="16">
        <f t="shared" si="185"/>
        <v>1615040</v>
      </c>
      <c r="W408" s="16">
        <f t="shared" si="185"/>
        <v>232037.99</v>
      </c>
      <c r="X408" s="16">
        <f t="shared" si="185"/>
        <v>0</v>
      </c>
      <c r="Y408" s="16">
        <f t="shared" si="185"/>
        <v>0</v>
      </c>
      <c r="Z408" s="16">
        <f t="shared" si="185"/>
        <v>10844258.300000001</v>
      </c>
      <c r="AA408" s="16">
        <f t="shared" si="185"/>
        <v>0</v>
      </c>
      <c r="AB408" s="16">
        <f t="shared" si="185"/>
        <v>6304699.1200000001</v>
      </c>
      <c r="AC408" s="16">
        <f t="shared" si="185"/>
        <v>0</v>
      </c>
      <c r="AD408" s="798" t="s">
        <v>29</v>
      </c>
      <c r="AE408" s="798" t="s">
        <v>29</v>
      </c>
      <c r="AF408" s="94"/>
      <c r="AG408" s="145"/>
    </row>
    <row r="409" spans="1:33" s="95" customFormat="1" ht="24" customHeight="1">
      <c r="A409" s="881" t="s">
        <v>1301</v>
      </c>
      <c r="B409" s="882"/>
      <c r="C409" s="16">
        <f>SUM(C408)</f>
        <v>17148957.420000002</v>
      </c>
      <c r="D409" s="16">
        <f t="shared" ref="D409:G409" si="186">SUM(D408)</f>
        <v>0</v>
      </c>
      <c r="E409" s="396">
        <f t="shared" si="186"/>
        <v>8</v>
      </c>
      <c r="F409" s="16">
        <f t="shared" si="186"/>
        <v>11460657.029999999</v>
      </c>
      <c r="G409" s="16">
        <f t="shared" si="186"/>
        <v>0</v>
      </c>
      <c r="H409" s="16">
        <f t="shared" ref="H409:AC409" si="187">SUM(H408)</f>
        <v>0</v>
      </c>
      <c r="I409" s="16">
        <f t="shared" si="187"/>
        <v>0</v>
      </c>
      <c r="J409" s="16">
        <f t="shared" si="187"/>
        <v>0</v>
      </c>
      <c r="K409" s="16">
        <f t="shared" si="187"/>
        <v>0</v>
      </c>
      <c r="L409" s="16">
        <f t="shared" si="187"/>
        <v>0</v>
      </c>
      <c r="M409" s="16">
        <f t="shared" si="187"/>
        <v>0</v>
      </c>
      <c r="N409" s="16">
        <f t="shared" si="187"/>
        <v>0</v>
      </c>
      <c r="O409" s="16">
        <f t="shared" si="187"/>
        <v>0</v>
      </c>
      <c r="P409" s="16">
        <f t="shared" si="187"/>
        <v>2179714.84</v>
      </c>
      <c r="Q409" s="16">
        <f t="shared" si="187"/>
        <v>0</v>
      </c>
      <c r="R409" s="16">
        <f t="shared" si="187"/>
        <v>1661507.56</v>
      </c>
      <c r="S409" s="16">
        <f t="shared" si="187"/>
        <v>0</v>
      </c>
      <c r="T409" s="141"/>
      <c r="U409" s="141"/>
      <c r="V409" s="16">
        <f t="shared" si="187"/>
        <v>1615040</v>
      </c>
      <c r="W409" s="16">
        <f t="shared" si="187"/>
        <v>232037.99</v>
      </c>
      <c r="X409" s="16">
        <f t="shared" si="187"/>
        <v>0</v>
      </c>
      <c r="Y409" s="16">
        <f t="shared" si="187"/>
        <v>0</v>
      </c>
      <c r="Z409" s="16">
        <f t="shared" si="187"/>
        <v>10844258.300000001</v>
      </c>
      <c r="AA409" s="16">
        <f t="shared" si="187"/>
        <v>0</v>
      </c>
      <c r="AB409" s="16">
        <f t="shared" si="187"/>
        <v>6304699.1200000001</v>
      </c>
      <c r="AC409" s="16">
        <f t="shared" si="187"/>
        <v>0</v>
      </c>
      <c r="AD409" s="798" t="s">
        <v>29</v>
      </c>
      <c r="AE409" s="798" t="s">
        <v>29</v>
      </c>
      <c r="AF409" s="94"/>
      <c r="AG409" s="145"/>
    </row>
    <row r="410" spans="1:33" s="76" customFormat="1" ht="24" customHeight="1">
      <c r="A410" s="883" t="s">
        <v>260</v>
      </c>
      <c r="B410" s="883"/>
      <c r="C410" s="16">
        <f t="shared" ref="C410:AC410" si="188">C438+C455+C465+C484+C656+C705+C715+C773+C804+C830+C833+C977+C999+C1021+C1068+C1080+C1085</f>
        <v>10835935755.299999</v>
      </c>
      <c r="D410" s="16">
        <f t="shared" si="188"/>
        <v>218553912.94</v>
      </c>
      <c r="E410" s="396">
        <f t="shared" si="188"/>
        <v>80</v>
      </c>
      <c r="F410" s="16">
        <f t="shared" si="188"/>
        <v>123679258.84</v>
      </c>
      <c r="G410" s="16">
        <f t="shared" si="188"/>
        <v>213988727.34</v>
      </c>
      <c r="H410" s="16">
        <f t="shared" si="188"/>
        <v>291573922.98000002</v>
      </c>
      <c r="I410" s="16">
        <f t="shared" si="188"/>
        <v>1044119089.3</v>
      </c>
      <c r="J410" s="396">
        <f t="shared" si="188"/>
        <v>76</v>
      </c>
      <c r="K410" s="16">
        <f t="shared" si="188"/>
        <v>213733703.96000001</v>
      </c>
      <c r="L410" s="16">
        <f t="shared" si="188"/>
        <v>210653262.83000001</v>
      </c>
      <c r="M410" s="16">
        <f t="shared" si="188"/>
        <v>23452524</v>
      </c>
      <c r="N410" s="396">
        <f t="shared" si="188"/>
        <v>203</v>
      </c>
      <c r="O410" s="16">
        <f t="shared" si="188"/>
        <v>643271103.69000006</v>
      </c>
      <c r="P410" s="16">
        <f t="shared" si="188"/>
        <v>3350073178.9200001</v>
      </c>
      <c r="Q410" s="16">
        <f t="shared" si="188"/>
        <v>120532406.56999999</v>
      </c>
      <c r="R410" s="16">
        <f t="shared" si="188"/>
        <v>3247828423.1900001</v>
      </c>
      <c r="S410" s="16">
        <f t="shared" si="188"/>
        <v>395729733.31</v>
      </c>
      <c r="T410" s="396">
        <f t="shared" si="188"/>
        <v>56</v>
      </c>
      <c r="U410" s="16">
        <f t="shared" si="188"/>
        <v>41692555.359999999</v>
      </c>
      <c r="V410" s="16">
        <f t="shared" si="188"/>
        <v>595938476.87</v>
      </c>
      <c r="W410" s="16">
        <f t="shared" si="188"/>
        <v>100727853.70999999</v>
      </c>
      <c r="X410" s="16">
        <f t="shared" si="188"/>
        <v>387621.49</v>
      </c>
      <c r="Y410" s="399">
        <f t="shared" si="188"/>
        <v>4246425202.25</v>
      </c>
      <c r="Z410" s="16">
        <f t="shared" si="188"/>
        <v>3105477653.1599998</v>
      </c>
      <c r="AA410" s="16">
        <f t="shared" si="188"/>
        <v>0</v>
      </c>
      <c r="AB410" s="16">
        <f t="shared" si="188"/>
        <v>3484032899.8899999</v>
      </c>
      <c r="AC410" s="16">
        <f t="shared" si="188"/>
        <v>0</v>
      </c>
      <c r="AD410" s="18" t="s">
        <v>29</v>
      </c>
      <c r="AE410" s="18" t="s">
        <v>29</v>
      </c>
      <c r="AF410" s="75"/>
      <c r="AG410" s="92"/>
    </row>
    <row r="411" spans="1:33" ht="24" customHeight="1">
      <c r="A411" s="888" t="s">
        <v>351</v>
      </c>
      <c r="B411" s="888"/>
      <c r="C411" s="888"/>
      <c r="D411" s="888"/>
      <c r="E411" s="888"/>
      <c r="F411" s="888"/>
      <c r="G411" s="888"/>
      <c r="H411" s="888"/>
      <c r="I411" s="888"/>
      <c r="J411" s="888"/>
      <c r="K411" s="888"/>
      <c r="L411" s="888"/>
      <c r="M411" s="888"/>
      <c r="N411" s="888"/>
      <c r="O411" s="888"/>
      <c r="P411" s="888"/>
      <c r="Q411" s="888"/>
      <c r="R411" s="888"/>
      <c r="S411" s="888"/>
      <c r="T411" s="889"/>
      <c r="U411" s="889"/>
      <c r="V411" s="888"/>
      <c r="W411" s="888"/>
      <c r="X411" s="888"/>
      <c r="Y411" s="888"/>
      <c r="Z411" s="888"/>
      <c r="AA411" s="888"/>
      <c r="AB411" s="888"/>
      <c r="AC411" s="888"/>
      <c r="AD411" s="888"/>
      <c r="AE411" s="888"/>
      <c r="AF411" s="808"/>
      <c r="AG411" s="806"/>
    </row>
    <row r="412" spans="1:33" ht="24" customHeight="1">
      <c r="A412" s="319">
        <v>1</v>
      </c>
      <c r="B412" s="328" t="s">
        <v>181</v>
      </c>
      <c r="C412" s="321">
        <f>D412+F412+G412+H412+I412+K412+L412+M412+O412+P412+Q412+R412+S412+V412+W412+X412</f>
        <v>21182423.550000001</v>
      </c>
      <c r="D412" s="329"/>
      <c r="E412" s="329"/>
      <c r="F412" s="330"/>
      <c r="G412" s="323"/>
      <c r="H412" s="330"/>
      <c r="I412" s="330"/>
      <c r="J412" s="330"/>
      <c r="K412" s="330"/>
      <c r="L412" s="325"/>
      <c r="M412" s="325"/>
      <c r="N412" s="325"/>
      <c r="O412" s="325"/>
      <c r="P412" s="322">
        <f>5697.6*3517.3</f>
        <v>20040168.48</v>
      </c>
      <c r="Q412" s="326"/>
      <c r="R412" s="326"/>
      <c r="S412" s="326"/>
      <c r="T412" s="326"/>
      <c r="U412" s="326"/>
      <c r="V412" s="331">
        <v>848408.4</v>
      </c>
      <c r="W412" s="322">
        <v>293846.67</v>
      </c>
      <c r="X412" s="329"/>
      <c r="Y412" s="329"/>
      <c r="Z412" s="329"/>
      <c r="AA412" s="329"/>
      <c r="AB412" s="322">
        <f>C412</f>
        <v>21182423.550000001</v>
      </c>
      <c r="AC412" s="319"/>
      <c r="AD412" s="319">
        <v>2024</v>
      </c>
      <c r="AE412" s="319">
        <v>2024</v>
      </c>
      <c r="AF412" s="332"/>
      <c r="AG412" s="332"/>
    </row>
    <row r="413" spans="1:33" ht="24" customHeight="1">
      <c r="A413" s="319">
        <f>A412+1</f>
        <v>2</v>
      </c>
      <c r="B413" s="328" t="s">
        <v>182</v>
      </c>
      <c r="C413" s="321">
        <f t="shared" ref="C413:C437" si="189">D413+F413+G413+H413+I413+K413+L413+M413+O413+P413+Q413+R413+S413+V413+W413+X413</f>
        <v>14303742.27</v>
      </c>
      <c r="D413" s="329"/>
      <c r="E413" s="329"/>
      <c r="F413" s="330"/>
      <c r="G413" s="323"/>
      <c r="H413" s="330"/>
      <c r="I413" s="330"/>
      <c r="J413" s="330"/>
      <c r="K413" s="330"/>
      <c r="L413" s="325"/>
      <c r="M413" s="325"/>
      <c r="N413" s="325"/>
      <c r="O413" s="325"/>
      <c r="P413" s="322">
        <f>3581.8*3727.29</f>
        <v>13350407.32</v>
      </c>
      <c r="Q413" s="326"/>
      <c r="R413" s="326"/>
      <c r="S413" s="326"/>
      <c r="T413" s="326"/>
      <c r="U413" s="326"/>
      <c r="V413" s="327">
        <v>754090.8</v>
      </c>
      <c r="W413" s="322">
        <v>199244.15</v>
      </c>
      <c r="X413" s="329"/>
      <c r="Y413" s="329"/>
      <c r="Z413" s="329"/>
      <c r="AA413" s="329"/>
      <c r="AB413" s="322">
        <f t="shared" ref="AB413:AB437" si="190">C413</f>
        <v>14303742.27</v>
      </c>
      <c r="AC413" s="319"/>
      <c r="AD413" s="319">
        <v>2024</v>
      </c>
      <c r="AE413" s="319">
        <v>2024</v>
      </c>
      <c r="AF413" s="332"/>
      <c r="AG413" s="332"/>
    </row>
    <row r="414" spans="1:33" ht="24" customHeight="1">
      <c r="A414" s="319">
        <f t="shared" ref="A414:A437" si="191">A413+1</f>
        <v>3</v>
      </c>
      <c r="B414" s="328" t="s">
        <v>183</v>
      </c>
      <c r="C414" s="321">
        <f t="shared" si="189"/>
        <v>15291899.99</v>
      </c>
      <c r="D414" s="329"/>
      <c r="E414" s="329"/>
      <c r="F414" s="330"/>
      <c r="G414" s="323"/>
      <c r="H414" s="330"/>
      <c r="I414" s="330"/>
      <c r="J414" s="330"/>
      <c r="K414" s="330"/>
      <c r="L414" s="325"/>
      <c r="M414" s="325"/>
      <c r="N414" s="325"/>
      <c r="O414" s="325"/>
      <c r="P414" s="322">
        <f>3842.8*3727.29</f>
        <v>14323230.01</v>
      </c>
      <c r="Q414" s="326"/>
      <c r="R414" s="326"/>
      <c r="S414" s="326"/>
      <c r="T414" s="326"/>
      <c r="U414" s="326"/>
      <c r="V414" s="327">
        <v>755012.4</v>
      </c>
      <c r="W414" s="322">
        <v>213657.58</v>
      </c>
      <c r="X414" s="329"/>
      <c r="Y414" s="329"/>
      <c r="Z414" s="329"/>
      <c r="AA414" s="329"/>
      <c r="AB414" s="322">
        <f t="shared" si="190"/>
        <v>15291899.99</v>
      </c>
      <c r="AC414" s="319"/>
      <c r="AD414" s="319">
        <v>2024</v>
      </c>
      <c r="AE414" s="319">
        <v>2024</v>
      </c>
      <c r="AF414" s="332"/>
      <c r="AG414" s="332"/>
    </row>
    <row r="415" spans="1:33" ht="24" customHeight="1">
      <c r="A415" s="319">
        <f t="shared" si="191"/>
        <v>4</v>
      </c>
      <c r="B415" s="328" t="s">
        <v>184</v>
      </c>
      <c r="C415" s="321">
        <f t="shared" si="189"/>
        <v>12625499</v>
      </c>
      <c r="D415" s="329"/>
      <c r="E415" s="329"/>
      <c r="F415" s="330"/>
      <c r="G415" s="323"/>
      <c r="H415" s="330"/>
      <c r="I415" s="330"/>
      <c r="J415" s="330"/>
      <c r="K415" s="330"/>
      <c r="L415" s="325"/>
      <c r="M415" s="325"/>
      <c r="N415" s="325"/>
      <c r="O415" s="325"/>
      <c r="P415" s="322">
        <f>3143.2*3727.29</f>
        <v>11715617.93</v>
      </c>
      <c r="Q415" s="326"/>
      <c r="R415" s="326"/>
      <c r="S415" s="326"/>
      <c r="T415" s="326"/>
      <c r="U415" s="326"/>
      <c r="V415" s="327">
        <v>734146.8</v>
      </c>
      <c r="W415" s="322">
        <f>P415*1.5%</f>
        <v>175734.27</v>
      </c>
      <c r="X415" s="329"/>
      <c r="Y415" s="329"/>
      <c r="Z415" s="329"/>
      <c r="AA415" s="329"/>
      <c r="AB415" s="322">
        <f t="shared" si="190"/>
        <v>12625499</v>
      </c>
      <c r="AC415" s="319"/>
      <c r="AD415" s="319">
        <v>2024</v>
      </c>
      <c r="AE415" s="319">
        <v>2025</v>
      </c>
      <c r="AF415" s="332"/>
      <c r="AG415" s="332"/>
    </row>
    <row r="416" spans="1:33" ht="24" customHeight="1">
      <c r="A416" s="319">
        <f t="shared" si="191"/>
        <v>5</v>
      </c>
      <c r="B416" s="328" t="s">
        <v>185</v>
      </c>
      <c r="C416" s="321">
        <f t="shared" si="189"/>
        <v>10170079.970000001</v>
      </c>
      <c r="D416" s="329"/>
      <c r="E416" s="329"/>
      <c r="F416" s="330"/>
      <c r="G416" s="323"/>
      <c r="H416" s="330"/>
      <c r="I416" s="330"/>
      <c r="J416" s="330"/>
      <c r="K416" s="330"/>
      <c r="L416" s="325"/>
      <c r="M416" s="325"/>
      <c r="N416" s="325"/>
      <c r="O416" s="325"/>
      <c r="P416" s="322">
        <f>2500.5*3727.29</f>
        <v>9320088.6500000004</v>
      </c>
      <c r="Q416" s="326"/>
      <c r="R416" s="326"/>
      <c r="S416" s="326"/>
      <c r="T416" s="326"/>
      <c r="U416" s="326"/>
      <c r="V416" s="327">
        <v>710190</v>
      </c>
      <c r="W416" s="322">
        <v>139801.32</v>
      </c>
      <c r="X416" s="329"/>
      <c r="Y416" s="329"/>
      <c r="Z416" s="329"/>
      <c r="AA416" s="329"/>
      <c r="AB416" s="322">
        <f t="shared" si="190"/>
        <v>10170079.970000001</v>
      </c>
      <c r="AC416" s="319"/>
      <c r="AD416" s="319">
        <v>2024</v>
      </c>
      <c r="AE416" s="319">
        <v>2024</v>
      </c>
      <c r="AF416" s="332"/>
      <c r="AG416" s="332"/>
    </row>
    <row r="417" spans="1:33" ht="24" customHeight="1">
      <c r="A417" s="319">
        <f t="shared" si="191"/>
        <v>6</v>
      </c>
      <c r="B417" s="328" t="s">
        <v>186</v>
      </c>
      <c r="C417" s="321">
        <f t="shared" si="189"/>
        <v>17404250.579999998</v>
      </c>
      <c r="D417" s="329"/>
      <c r="E417" s="329"/>
      <c r="F417" s="330"/>
      <c r="G417" s="323"/>
      <c r="H417" s="330"/>
      <c r="I417" s="330"/>
      <c r="J417" s="330"/>
      <c r="K417" s="330"/>
      <c r="L417" s="325"/>
      <c r="M417" s="325"/>
      <c r="N417" s="325"/>
      <c r="O417" s="325"/>
      <c r="P417" s="322">
        <f>4393.7*3727.29</f>
        <v>16376594.07</v>
      </c>
      <c r="Q417" s="326"/>
      <c r="R417" s="326"/>
      <c r="S417" s="326"/>
      <c r="T417" s="326"/>
      <c r="U417" s="326"/>
      <c r="V417" s="327">
        <v>782007.6</v>
      </c>
      <c r="W417" s="322">
        <f t="shared" ref="W417" si="192">P417*1.5%</f>
        <v>245648.91</v>
      </c>
      <c r="X417" s="329"/>
      <c r="Y417" s="329"/>
      <c r="Z417" s="329"/>
      <c r="AA417" s="329"/>
      <c r="AB417" s="322">
        <f t="shared" si="190"/>
        <v>17404250.579999998</v>
      </c>
      <c r="AC417" s="319"/>
      <c r="AD417" s="319">
        <v>2024</v>
      </c>
      <c r="AE417" s="319">
        <v>2024</v>
      </c>
      <c r="AF417" s="332"/>
      <c r="AG417" s="332"/>
    </row>
    <row r="418" spans="1:33" ht="24" customHeight="1">
      <c r="A418" s="319">
        <f t="shared" si="191"/>
        <v>7</v>
      </c>
      <c r="B418" s="328" t="s">
        <v>187</v>
      </c>
      <c r="C418" s="321">
        <f t="shared" si="189"/>
        <v>19354990.789999999</v>
      </c>
      <c r="D418" s="329"/>
      <c r="E418" s="329"/>
      <c r="F418" s="330"/>
      <c r="G418" s="323"/>
      <c r="H418" s="330"/>
      <c r="I418" s="330"/>
      <c r="J418" s="330"/>
      <c r="K418" s="330"/>
      <c r="L418" s="325"/>
      <c r="M418" s="325"/>
      <c r="N418" s="325"/>
      <c r="O418" s="325"/>
      <c r="P418" s="329"/>
      <c r="Q418" s="326">
        <f>3215.8*706.71</f>
        <v>2272638.02</v>
      </c>
      <c r="R418" s="326">
        <f>3215.8*3435.59</f>
        <v>11048170.32</v>
      </c>
      <c r="S418" s="326">
        <f>3215.8*1331.91</f>
        <v>4283156.18</v>
      </c>
      <c r="T418" s="326"/>
      <c r="U418" s="326"/>
      <c r="V418" s="327">
        <v>1486966.8</v>
      </c>
      <c r="W418" s="322">
        <f>ROUND((Q418+R418+S418)*1.5%,2)</f>
        <v>264059.46999999997</v>
      </c>
      <c r="X418" s="329"/>
      <c r="Y418" s="329"/>
      <c r="Z418" s="329"/>
      <c r="AA418" s="329"/>
      <c r="AB418" s="322">
        <f t="shared" si="190"/>
        <v>19354990.789999999</v>
      </c>
      <c r="AC418" s="319"/>
      <c r="AD418" s="319">
        <v>2024</v>
      </c>
      <c r="AE418" s="319">
        <v>2024</v>
      </c>
      <c r="AF418" s="332"/>
      <c r="AG418" s="332"/>
    </row>
    <row r="419" spans="1:33" ht="24" customHeight="1">
      <c r="A419" s="319">
        <f t="shared" si="191"/>
        <v>8</v>
      </c>
      <c r="B419" s="328" t="s">
        <v>188</v>
      </c>
      <c r="C419" s="321">
        <f t="shared" si="189"/>
        <v>4077393.2</v>
      </c>
      <c r="D419" s="322">
        <f>1613.1*660.21</f>
        <v>1064984.75</v>
      </c>
      <c r="E419" s="333"/>
      <c r="F419" s="322"/>
      <c r="G419" s="323">
        <f>1613.1*620.83</f>
        <v>1001460.87</v>
      </c>
      <c r="H419" s="322">
        <f>1613.1*665.62</f>
        <v>1073711.6200000001</v>
      </c>
      <c r="I419" s="330"/>
      <c r="J419" s="330"/>
      <c r="K419" s="330"/>
      <c r="L419" s="325"/>
      <c r="M419" s="325"/>
      <c r="N419" s="325"/>
      <c r="O419" s="325"/>
      <c r="P419" s="329"/>
      <c r="Q419" s="326"/>
      <c r="R419" s="326"/>
      <c r="S419" s="326"/>
      <c r="T419" s="326"/>
      <c r="U419" s="326"/>
      <c r="V419" s="327">
        <v>890133.6</v>
      </c>
      <c r="W419" s="322">
        <f>ROUND((D419+G419+H419)*1.5%,2)</f>
        <v>47102.36</v>
      </c>
      <c r="X419" s="329"/>
      <c r="Y419" s="329"/>
      <c r="Z419" s="329"/>
      <c r="AA419" s="329"/>
      <c r="AB419" s="322">
        <f t="shared" si="190"/>
        <v>4077393.2</v>
      </c>
      <c r="AC419" s="319"/>
      <c r="AD419" s="319">
        <v>2024</v>
      </c>
      <c r="AE419" s="319">
        <v>2024</v>
      </c>
      <c r="AF419" s="332"/>
      <c r="AG419" s="332"/>
    </row>
    <row r="420" spans="1:33" ht="24" customHeight="1">
      <c r="A420" s="319">
        <f t="shared" si="191"/>
        <v>9</v>
      </c>
      <c r="B420" s="328" t="s">
        <v>189</v>
      </c>
      <c r="C420" s="321">
        <f t="shared" si="189"/>
        <v>7805516.7000000002</v>
      </c>
      <c r="D420" s="329"/>
      <c r="E420" s="329"/>
      <c r="F420" s="330"/>
      <c r="G420" s="323"/>
      <c r="H420" s="330"/>
      <c r="I420" s="330"/>
      <c r="J420" s="330"/>
      <c r="K420" s="330"/>
      <c r="L420" s="325"/>
      <c r="M420" s="325"/>
      <c r="N420" s="325"/>
      <c r="O420" s="325"/>
      <c r="P420" s="329"/>
      <c r="Q420" s="326">
        <f>3227.8*706.71</f>
        <v>2281118.54</v>
      </c>
      <c r="R420" s="326"/>
      <c r="S420" s="326">
        <f>3227.8*1331.91</f>
        <v>4299139.0999999996</v>
      </c>
      <c r="T420" s="326"/>
      <c r="U420" s="326"/>
      <c r="V420" s="327">
        <v>1126555.2</v>
      </c>
      <c r="W420" s="322">
        <f t="shared" ref="W420:W421" si="193">ROUND((Q420+R420+S420)*1.5%,2)</f>
        <v>98703.86</v>
      </c>
      <c r="X420" s="329"/>
      <c r="Y420" s="329"/>
      <c r="Z420" s="329"/>
      <c r="AA420" s="329"/>
      <c r="AB420" s="322">
        <f t="shared" si="190"/>
        <v>7805516.7000000002</v>
      </c>
      <c r="AC420" s="319"/>
      <c r="AD420" s="319">
        <v>2024</v>
      </c>
      <c r="AE420" s="319">
        <v>2024</v>
      </c>
      <c r="AF420" s="332"/>
      <c r="AG420" s="332"/>
    </row>
    <row r="421" spans="1:33" ht="24" customHeight="1">
      <c r="A421" s="319">
        <f t="shared" si="191"/>
        <v>10</v>
      </c>
      <c r="B421" s="328" t="s">
        <v>190</v>
      </c>
      <c r="C421" s="321">
        <f t="shared" si="189"/>
        <v>18068897.129999999</v>
      </c>
      <c r="D421" s="329"/>
      <c r="E421" s="329"/>
      <c r="F421" s="330"/>
      <c r="G421" s="323"/>
      <c r="H421" s="330"/>
      <c r="I421" s="330"/>
      <c r="J421" s="830"/>
      <c r="K421" s="330"/>
      <c r="L421" s="325"/>
      <c r="M421" s="325"/>
      <c r="N421" s="325"/>
      <c r="O421" s="325"/>
      <c r="P421" s="329"/>
      <c r="Q421" s="326">
        <f>2738.7*1954.25</f>
        <v>5352104.4800000004</v>
      </c>
      <c r="R421" s="326">
        <f>2738.7*2647.87</f>
        <v>7251721.5700000003</v>
      </c>
      <c r="S421" s="326">
        <f>2738.7*1462.9</f>
        <v>4006444.23</v>
      </c>
      <c r="T421" s="326"/>
      <c r="U421" s="326"/>
      <c r="V421" s="327">
        <v>1209472.8</v>
      </c>
      <c r="W421" s="322">
        <f t="shared" si="193"/>
        <v>249154.05</v>
      </c>
      <c r="X421" s="329"/>
      <c r="Y421" s="329"/>
      <c r="Z421" s="329"/>
      <c r="AA421" s="329"/>
      <c r="AB421" s="322">
        <f t="shared" si="190"/>
        <v>18068897.129999999</v>
      </c>
      <c r="AC421" s="319"/>
      <c r="AD421" s="319">
        <v>2024</v>
      </c>
      <c r="AE421" s="319">
        <v>2025</v>
      </c>
      <c r="AF421" s="332"/>
      <c r="AG421" s="332"/>
    </row>
    <row r="422" spans="1:33" s="76" customFormat="1" ht="24" customHeight="1">
      <c r="A422" s="319">
        <f t="shared" si="191"/>
        <v>11</v>
      </c>
      <c r="B422" s="324" t="s">
        <v>38</v>
      </c>
      <c r="C422" s="321">
        <f>D422+F422+G422+H422+I422+K422+L422+M422+O422+P422+Q422+R422+S422+V422+W422+X422</f>
        <v>4345283.26</v>
      </c>
      <c r="D422" s="334"/>
      <c r="E422" s="334"/>
      <c r="F422" s="319"/>
      <c r="G422" s="335"/>
      <c r="H422" s="319"/>
      <c r="I422" s="319"/>
      <c r="J422" s="830"/>
      <c r="K422" s="319"/>
      <c r="L422" s="336"/>
      <c r="M422" s="336"/>
      <c r="N422" s="336"/>
      <c r="O422" s="336"/>
      <c r="P422" s="334"/>
      <c r="Q422" s="326">
        <f>ROUND(1633*706.71,2)</f>
        <v>1154057.43</v>
      </c>
      <c r="R422" s="326"/>
      <c r="S422" s="326">
        <f>ROUND(1633*1331.91,2)</f>
        <v>2175009.0299999998</v>
      </c>
      <c r="T422" s="326"/>
      <c r="U422" s="326"/>
      <c r="V422" s="326">
        <v>966280.8</v>
      </c>
      <c r="W422" s="322">
        <f>ROUND((Q422+S422)*1.5%,2)</f>
        <v>49936</v>
      </c>
      <c r="X422" s="334"/>
      <c r="Y422" s="334"/>
      <c r="Z422" s="334"/>
      <c r="AA422" s="334"/>
      <c r="AB422" s="321">
        <f>C422</f>
        <v>4345283.26</v>
      </c>
      <c r="AC422" s="319"/>
      <c r="AD422" s="319">
        <v>2023</v>
      </c>
      <c r="AE422" s="319">
        <v>2024</v>
      </c>
      <c r="AF422" s="92"/>
      <c r="AG422" s="92"/>
    </row>
    <row r="423" spans="1:33" ht="24" customHeight="1">
      <c r="A423" s="319">
        <f t="shared" si="191"/>
        <v>12</v>
      </c>
      <c r="B423" s="320" t="s">
        <v>32</v>
      </c>
      <c r="C423" s="321">
        <f t="shared" si="189"/>
        <v>7362878.7400000002</v>
      </c>
      <c r="D423" s="329"/>
      <c r="E423" s="329"/>
      <c r="F423" s="330"/>
      <c r="G423" s="323"/>
      <c r="H423" s="330"/>
      <c r="I423" s="322">
        <f>1642.1*3990.81</f>
        <v>6553309.0999999996</v>
      </c>
      <c r="J423" s="830"/>
      <c r="K423" s="330"/>
      <c r="L423" s="325"/>
      <c r="M423" s="325"/>
      <c r="N423" s="325"/>
      <c r="O423" s="325"/>
      <c r="P423" s="329"/>
      <c r="Q423" s="326"/>
      <c r="R423" s="326"/>
      <c r="S423" s="326"/>
      <c r="T423" s="326"/>
      <c r="U423" s="326"/>
      <c r="V423" s="327">
        <v>711270</v>
      </c>
      <c r="W423" s="322">
        <f>I423*1.5%</f>
        <v>98299.64</v>
      </c>
      <c r="X423" s="329"/>
      <c r="Y423" s="329"/>
      <c r="Z423" s="329"/>
      <c r="AA423" s="329"/>
      <c r="AB423" s="322">
        <f t="shared" si="190"/>
        <v>7362878.7400000002</v>
      </c>
      <c r="AC423" s="319"/>
      <c r="AD423" s="319">
        <v>2024</v>
      </c>
      <c r="AE423" s="319">
        <v>2024</v>
      </c>
      <c r="AF423" s="332"/>
      <c r="AG423" s="332"/>
    </row>
    <row r="424" spans="1:33" ht="24" customHeight="1">
      <c r="A424" s="319">
        <f t="shared" si="191"/>
        <v>13</v>
      </c>
      <c r="B424" s="337" t="s">
        <v>263</v>
      </c>
      <c r="C424" s="321">
        <f>D424+F424+G424+H424+I424+K424+L424+M424+O424+P424+Q424+R424+S424+V424+W424+X424</f>
        <v>12691423.060000001</v>
      </c>
      <c r="D424" s="329"/>
      <c r="E424" s="329"/>
      <c r="F424" s="330"/>
      <c r="G424" s="323"/>
      <c r="H424" s="330"/>
      <c r="I424" s="330"/>
      <c r="J424" s="830"/>
      <c r="K424" s="330"/>
      <c r="L424" s="325"/>
      <c r="M424" s="325"/>
      <c r="N424" s="873"/>
      <c r="O424" s="325"/>
      <c r="P424" s="322">
        <f>ROUND(3156.6*3727.29,2)</f>
        <v>11765563.609999999</v>
      </c>
      <c r="Q424" s="326"/>
      <c r="R424" s="326"/>
      <c r="S424" s="326"/>
      <c r="T424" s="326"/>
      <c r="U424" s="326"/>
      <c r="V424" s="338">
        <v>749376</v>
      </c>
      <c r="W424" s="322">
        <f>ROUND((D424+F424+G424+H424+I424+K424+L424+M424+O424+P424+Q424+R424+S424)*1.5%,2)</f>
        <v>176483.45</v>
      </c>
      <c r="X424" s="329"/>
      <c r="Y424" s="329"/>
      <c r="Z424" s="329"/>
      <c r="AA424" s="329"/>
      <c r="AB424" s="322">
        <f>C424</f>
        <v>12691423.060000001</v>
      </c>
      <c r="AC424" s="319"/>
      <c r="AD424" s="319">
        <v>2024</v>
      </c>
      <c r="AE424" s="319">
        <v>2024</v>
      </c>
      <c r="AF424" s="332"/>
      <c r="AG424" s="332"/>
    </row>
    <row r="425" spans="1:33" ht="24" customHeight="1">
      <c r="A425" s="319">
        <f t="shared" si="191"/>
        <v>14</v>
      </c>
      <c r="B425" s="320" t="s">
        <v>37</v>
      </c>
      <c r="C425" s="321">
        <f t="shared" si="189"/>
        <v>15068252.039999999</v>
      </c>
      <c r="D425" s="322">
        <f>1574.4*660.21</f>
        <v>1039434.62</v>
      </c>
      <c r="E425" s="322"/>
      <c r="F425" s="322"/>
      <c r="G425" s="323">
        <f>1574.4*620.83</f>
        <v>977434.75</v>
      </c>
      <c r="H425" s="322">
        <f>1574.4*665.62</f>
        <v>1047952.13</v>
      </c>
      <c r="I425" s="322">
        <f>1574.4*3990.81</f>
        <v>6283131.2599999998</v>
      </c>
      <c r="J425" s="869">
        <v>1</v>
      </c>
      <c r="K425" s="322">
        <v>2771340</v>
      </c>
      <c r="L425" s="324">
        <f>1574.4*903.99</f>
        <v>1423241.86</v>
      </c>
      <c r="M425" s="325"/>
      <c r="N425" s="873"/>
      <c r="O425" s="325"/>
      <c r="P425" s="326"/>
      <c r="Q425" s="329"/>
      <c r="R425" s="329"/>
      <c r="S425" s="329"/>
      <c r="T425" s="329"/>
      <c r="U425" s="329"/>
      <c r="V425" s="327">
        <f>1184012.4+138567</f>
        <v>1322579.3999999999</v>
      </c>
      <c r="W425" s="322">
        <v>203138.02</v>
      </c>
      <c r="X425" s="329"/>
      <c r="Y425" s="329"/>
      <c r="Z425" s="329"/>
      <c r="AA425" s="329"/>
      <c r="AB425" s="322">
        <f t="shared" si="190"/>
        <v>15068252.039999999</v>
      </c>
      <c r="AC425" s="319"/>
      <c r="AD425" s="319">
        <v>2024</v>
      </c>
      <c r="AE425" s="319">
        <v>2024</v>
      </c>
      <c r="AF425" s="332"/>
      <c r="AG425" s="332"/>
    </row>
    <row r="426" spans="1:33" ht="24" customHeight="1">
      <c r="A426" s="319">
        <f t="shared" si="191"/>
        <v>15</v>
      </c>
      <c r="B426" s="320" t="s">
        <v>520</v>
      </c>
      <c r="C426" s="321">
        <f t="shared" si="189"/>
        <v>11549873.880000001</v>
      </c>
      <c r="D426" s="322"/>
      <c r="E426" s="322"/>
      <c r="F426" s="322"/>
      <c r="G426" s="323"/>
      <c r="H426" s="322"/>
      <c r="I426" s="322"/>
      <c r="J426" s="867"/>
      <c r="K426" s="322"/>
      <c r="L426" s="324"/>
      <c r="M426" s="325"/>
      <c r="N426" s="873">
        <v>3</v>
      </c>
      <c r="O426" s="326">
        <f>3614984*3</f>
        <v>10844952</v>
      </c>
      <c r="P426" s="326"/>
      <c r="Q426" s="329"/>
      <c r="R426" s="329"/>
      <c r="S426" s="329"/>
      <c r="T426" s="329"/>
      <c r="U426" s="329"/>
      <c r="V426" s="327">
        <v>542247.6</v>
      </c>
      <c r="W426" s="322">
        <v>162674.28</v>
      </c>
      <c r="X426" s="329"/>
      <c r="Y426" s="329"/>
      <c r="Z426" s="329"/>
      <c r="AA426" s="329"/>
      <c r="AB426" s="322">
        <f t="shared" si="190"/>
        <v>11549873.880000001</v>
      </c>
      <c r="AC426" s="319"/>
      <c r="AD426" s="319">
        <v>2024</v>
      </c>
      <c r="AE426" s="319">
        <v>2025</v>
      </c>
      <c r="AF426" s="332"/>
      <c r="AG426" s="332"/>
    </row>
    <row r="427" spans="1:33" ht="24" customHeight="1">
      <c r="A427" s="319">
        <f t="shared" si="191"/>
        <v>16</v>
      </c>
      <c r="B427" s="320" t="s">
        <v>521</v>
      </c>
      <c r="C427" s="321">
        <f t="shared" si="189"/>
        <v>50357247.299999997</v>
      </c>
      <c r="D427" s="322"/>
      <c r="E427" s="322"/>
      <c r="F427" s="322"/>
      <c r="G427" s="323"/>
      <c r="H427" s="322"/>
      <c r="I427" s="322"/>
      <c r="J427" s="867"/>
      <c r="K427" s="322"/>
      <c r="L427" s="324"/>
      <c r="M427" s="325"/>
      <c r="N427" s="873"/>
      <c r="O427" s="326"/>
      <c r="P427" s="326">
        <v>16460386.92</v>
      </c>
      <c r="Q427" s="329"/>
      <c r="R427" s="326">
        <v>30360699.510000002</v>
      </c>
      <c r="S427" s="329"/>
      <c r="T427" s="329"/>
      <c r="U427" s="329"/>
      <c r="V427" s="327">
        <f>823019.35+2010825.23</f>
        <v>2833844.58</v>
      </c>
      <c r="W427" s="322">
        <f>246905.8+455410.49</f>
        <v>702316.29</v>
      </c>
      <c r="X427" s="329"/>
      <c r="Y427" s="329"/>
      <c r="Z427" s="329"/>
      <c r="AA427" s="329"/>
      <c r="AB427" s="322">
        <f t="shared" si="190"/>
        <v>50357247.299999997</v>
      </c>
      <c r="AC427" s="319"/>
      <c r="AD427" s="319">
        <v>2024</v>
      </c>
      <c r="AE427" s="319">
        <v>2025</v>
      </c>
      <c r="AF427" s="332"/>
      <c r="AG427" s="332"/>
    </row>
    <row r="428" spans="1:33" ht="24" customHeight="1">
      <c r="A428" s="319">
        <f t="shared" si="191"/>
        <v>17</v>
      </c>
      <c r="B428" s="337" t="s">
        <v>265</v>
      </c>
      <c r="C428" s="321">
        <f>D428+F428+G428+H428+I428+K428+L428+M428+O428+P428+Q428+R428+S428+V428+W428+X428</f>
        <v>16531294.449999999</v>
      </c>
      <c r="D428" s="329"/>
      <c r="E428" s="329"/>
      <c r="F428" s="330"/>
      <c r="G428" s="323"/>
      <c r="H428" s="330"/>
      <c r="I428" s="330"/>
      <c r="J428" s="830"/>
      <c r="K428" s="330"/>
      <c r="L428" s="325"/>
      <c r="M428" s="325"/>
      <c r="N428" s="873"/>
      <c r="O428" s="325"/>
      <c r="P428" s="322">
        <f>ROUND(4411*3517.3,2)</f>
        <v>15514810.300000001</v>
      </c>
      <c r="Q428" s="326"/>
      <c r="R428" s="326"/>
      <c r="S428" s="326"/>
      <c r="T428" s="326"/>
      <c r="U428" s="326"/>
      <c r="V428" s="338">
        <v>783762</v>
      </c>
      <c r="W428" s="322">
        <f>ROUND((D428+F428+G428+H428+I428+K428+L428+M428+O428+P428+Q428+R428+S428)*1.5%,2)</f>
        <v>232722.15</v>
      </c>
      <c r="X428" s="329"/>
      <c r="Y428" s="329"/>
      <c r="Z428" s="329"/>
      <c r="AA428" s="329"/>
      <c r="AB428" s="322">
        <f>C428</f>
        <v>16531294.449999999</v>
      </c>
      <c r="AC428" s="319"/>
      <c r="AD428" s="319">
        <v>2024</v>
      </c>
      <c r="AE428" s="319">
        <v>2024</v>
      </c>
      <c r="AF428" s="332"/>
      <c r="AG428" s="332"/>
    </row>
    <row r="429" spans="1:33" ht="24" customHeight="1">
      <c r="A429" s="319">
        <f t="shared" si="191"/>
        <v>18</v>
      </c>
      <c r="B429" s="337" t="s">
        <v>266</v>
      </c>
      <c r="C429" s="321">
        <f>D429+F429+G429+H429+I429+K429+L429+M429+O429+P429+Q429+R429+S429+V429+W429+X429</f>
        <v>16411723.890000001</v>
      </c>
      <c r="D429" s="322"/>
      <c r="E429" s="333"/>
      <c r="F429" s="322"/>
      <c r="G429" s="323"/>
      <c r="H429" s="322"/>
      <c r="I429" s="330"/>
      <c r="J429" s="830"/>
      <c r="K429" s="330"/>
      <c r="L429" s="325"/>
      <c r="M429" s="325"/>
      <c r="N429" s="873"/>
      <c r="O429" s="325"/>
      <c r="P429" s="322">
        <f>ROUND(4377.9*3517.3,2)</f>
        <v>15398387.67</v>
      </c>
      <c r="Q429" s="326"/>
      <c r="R429" s="326"/>
      <c r="S429" s="326"/>
      <c r="T429" s="326"/>
      <c r="U429" s="326"/>
      <c r="V429" s="338">
        <v>782360.4</v>
      </c>
      <c r="W429" s="322">
        <f>ROUND((D429+F429+G429+H429+I429+K429+L429+M429+O429+P429+Q429+R429+S429)*1.5%,2)</f>
        <v>230975.82</v>
      </c>
      <c r="X429" s="329"/>
      <c r="Y429" s="329"/>
      <c r="Z429" s="329"/>
      <c r="AA429" s="329"/>
      <c r="AB429" s="322">
        <f>C429</f>
        <v>16411723.890000001</v>
      </c>
      <c r="AC429" s="319"/>
      <c r="AD429" s="319">
        <v>2024</v>
      </c>
      <c r="AE429" s="319">
        <v>2024</v>
      </c>
      <c r="AF429" s="332"/>
      <c r="AG429" s="332"/>
    </row>
    <row r="430" spans="1:33" ht="24" customHeight="1">
      <c r="A430" s="319">
        <f t="shared" si="191"/>
        <v>19</v>
      </c>
      <c r="B430" s="320" t="s">
        <v>523</v>
      </c>
      <c r="C430" s="321">
        <f t="shared" si="189"/>
        <v>25552337.879999999</v>
      </c>
      <c r="D430" s="322"/>
      <c r="E430" s="322"/>
      <c r="F430" s="322"/>
      <c r="G430" s="323"/>
      <c r="H430" s="322"/>
      <c r="I430" s="322"/>
      <c r="J430" s="867"/>
      <c r="K430" s="322"/>
      <c r="L430" s="324"/>
      <c r="M430" s="325"/>
      <c r="N430" s="873"/>
      <c r="O430" s="326"/>
      <c r="P430" s="326">
        <v>23992805.52</v>
      </c>
      <c r="Q430" s="329"/>
      <c r="R430" s="329"/>
      <c r="S430" s="329"/>
      <c r="T430" s="329"/>
      <c r="U430" s="329"/>
      <c r="V430" s="327">
        <v>1199640.28</v>
      </c>
      <c r="W430" s="322">
        <v>359892.08</v>
      </c>
      <c r="X430" s="329"/>
      <c r="Y430" s="329"/>
      <c r="Z430" s="329"/>
      <c r="AA430" s="329"/>
      <c r="AB430" s="322">
        <f t="shared" si="190"/>
        <v>25552337.879999999</v>
      </c>
      <c r="AC430" s="319"/>
      <c r="AD430" s="319">
        <v>2024</v>
      </c>
      <c r="AE430" s="319">
        <v>2025</v>
      </c>
      <c r="AF430" s="332"/>
      <c r="AG430" s="332"/>
    </row>
    <row r="431" spans="1:33" ht="24" customHeight="1">
      <c r="A431" s="319">
        <f t="shared" si="191"/>
        <v>20</v>
      </c>
      <c r="B431" s="320" t="s">
        <v>522</v>
      </c>
      <c r="C431" s="321">
        <f t="shared" si="189"/>
        <v>23136971.23</v>
      </c>
      <c r="D431" s="322"/>
      <c r="E431" s="322"/>
      <c r="F431" s="322"/>
      <c r="G431" s="323"/>
      <c r="H431" s="322"/>
      <c r="I431" s="322"/>
      <c r="J431" s="867"/>
      <c r="K431" s="322"/>
      <c r="L431" s="324"/>
      <c r="M431" s="325"/>
      <c r="N431" s="873"/>
      <c r="O431" s="326"/>
      <c r="P431" s="326">
        <v>21724855.620000001</v>
      </c>
      <c r="Q431" s="329"/>
      <c r="R431" s="329"/>
      <c r="S431" s="329"/>
      <c r="T431" s="329"/>
      <c r="U431" s="329"/>
      <c r="V431" s="327">
        <v>1086242.78</v>
      </c>
      <c r="W431" s="322">
        <v>325872.83</v>
      </c>
      <c r="X431" s="329"/>
      <c r="Y431" s="329"/>
      <c r="Z431" s="329"/>
      <c r="AA431" s="329"/>
      <c r="AB431" s="322">
        <f t="shared" si="190"/>
        <v>23136971.23</v>
      </c>
      <c r="AC431" s="319"/>
      <c r="AD431" s="319">
        <v>2024</v>
      </c>
      <c r="AE431" s="319">
        <v>2024</v>
      </c>
      <c r="AF431" s="332"/>
      <c r="AG431" s="332"/>
    </row>
    <row r="432" spans="1:33" ht="24" customHeight="1">
      <c r="A432" s="319">
        <f t="shared" si="191"/>
        <v>21</v>
      </c>
      <c r="B432" s="442" t="s">
        <v>264</v>
      </c>
      <c r="C432" s="418">
        <f>D432+F432+G432+H432+I432+K432+L432+M432+O432+P432+Q432+R432+S432+V432+W432+X432</f>
        <v>12860578.720000001</v>
      </c>
      <c r="D432" s="439"/>
      <c r="E432" s="439"/>
      <c r="F432" s="420"/>
      <c r="G432" s="421"/>
      <c r="H432" s="420"/>
      <c r="I432" s="420"/>
      <c r="J432" s="734"/>
      <c r="K432" s="420"/>
      <c r="L432" s="422"/>
      <c r="M432" s="422"/>
      <c r="N432" s="737"/>
      <c r="O432" s="422"/>
      <c r="P432" s="428">
        <f>ROUND(3200.5*3727.29,2)</f>
        <v>11929191.65</v>
      </c>
      <c r="Q432" s="438"/>
      <c r="R432" s="438"/>
      <c r="S432" s="438"/>
      <c r="T432" s="438"/>
      <c r="U432" s="438"/>
      <c r="V432" s="440">
        <v>752449.2</v>
      </c>
      <c r="W432" s="428">
        <f>ROUND((D432+F432+G432+H432+I432+K432+L432+M432+O432+P432+Q432+R432+S432)*1.5%,2)</f>
        <v>178937.87</v>
      </c>
      <c r="X432" s="439"/>
      <c r="Y432" s="439"/>
      <c r="Z432" s="439"/>
      <c r="AA432" s="439"/>
      <c r="AB432" s="428">
        <f>C432</f>
        <v>12860578.720000001</v>
      </c>
      <c r="AC432" s="426"/>
      <c r="AD432" s="426">
        <v>2024</v>
      </c>
      <c r="AE432" s="426">
        <v>2024</v>
      </c>
      <c r="AF432" s="441"/>
      <c r="AG432" s="441"/>
    </row>
    <row r="433" spans="1:33" ht="24" customHeight="1">
      <c r="A433" s="319">
        <f t="shared" si="191"/>
        <v>22</v>
      </c>
      <c r="B433" s="320" t="s">
        <v>524</v>
      </c>
      <c r="C433" s="321">
        <f t="shared" si="189"/>
        <v>2377237.33</v>
      </c>
      <c r="D433" s="322"/>
      <c r="E433" s="322"/>
      <c r="F433" s="322"/>
      <c r="G433" s="323"/>
      <c r="H433" s="322"/>
      <c r="I433" s="322"/>
      <c r="J433" s="867"/>
      <c r="K433" s="322"/>
      <c r="L433" s="324">
        <v>2232147.7200000002</v>
      </c>
      <c r="M433" s="325"/>
      <c r="N433" s="873"/>
      <c r="O433" s="326"/>
      <c r="P433" s="326"/>
      <c r="Q433" s="329"/>
      <c r="R433" s="329"/>
      <c r="S433" s="329"/>
      <c r="T433" s="329"/>
      <c r="U433" s="329"/>
      <c r="V433" s="327">
        <v>111607.39</v>
      </c>
      <c r="W433" s="322">
        <v>33482.22</v>
      </c>
      <c r="X433" s="329"/>
      <c r="Y433" s="329"/>
      <c r="Z433" s="329"/>
      <c r="AA433" s="329"/>
      <c r="AB433" s="322">
        <f t="shared" si="190"/>
        <v>2377237.33</v>
      </c>
      <c r="AC433" s="319"/>
      <c r="AD433" s="319">
        <v>2024</v>
      </c>
      <c r="AE433" s="319">
        <v>2025</v>
      </c>
      <c r="AF433" s="332"/>
      <c r="AG433" s="332"/>
    </row>
    <row r="434" spans="1:33" ht="24" customHeight="1">
      <c r="A434" s="319">
        <f t="shared" si="191"/>
        <v>23</v>
      </c>
      <c r="B434" s="320" t="s">
        <v>525</v>
      </c>
      <c r="C434" s="321">
        <f t="shared" si="189"/>
        <v>15729834.35</v>
      </c>
      <c r="D434" s="322">
        <v>1535930.17</v>
      </c>
      <c r="E434" s="322"/>
      <c r="F434" s="322"/>
      <c r="G434" s="323">
        <v>1056197.6499999999</v>
      </c>
      <c r="H434" s="322">
        <v>1515903.62</v>
      </c>
      <c r="I434" s="322">
        <v>10661766.07</v>
      </c>
      <c r="J434" s="322"/>
      <c r="K434" s="322"/>
      <c r="L434" s="324"/>
      <c r="M434" s="325"/>
      <c r="N434" s="873"/>
      <c r="O434" s="326"/>
      <c r="P434" s="326"/>
      <c r="Q434" s="329"/>
      <c r="R434" s="329"/>
      <c r="S434" s="329"/>
      <c r="T434" s="329"/>
      <c r="U434" s="329"/>
      <c r="V434" s="327">
        <v>738489.88</v>
      </c>
      <c r="W434" s="322">
        <v>221546.96</v>
      </c>
      <c r="X434" s="329"/>
      <c r="Y434" s="329"/>
      <c r="Z434" s="329"/>
      <c r="AA434" s="329"/>
      <c r="AB434" s="322">
        <f t="shared" si="190"/>
        <v>15729834.35</v>
      </c>
      <c r="AC434" s="319"/>
      <c r="AD434" s="319">
        <v>2024</v>
      </c>
      <c r="AE434" s="319">
        <v>2025</v>
      </c>
      <c r="AF434" s="332"/>
      <c r="AG434" s="332"/>
    </row>
    <row r="435" spans="1:33" ht="24" customHeight="1">
      <c r="A435" s="319">
        <f t="shared" si="191"/>
        <v>24</v>
      </c>
      <c r="B435" s="320" t="s">
        <v>526</v>
      </c>
      <c r="C435" s="321">
        <f t="shared" si="189"/>
        <v>72540174.549999997</v>
      </c>
      <c r="D435" s="322">
        <v>2623536.73</v>
      </c>
      <c r="E435" s="322"/>
      <c r="F435" s="322"/>
      <c r="G435" s="323">
        <v>2044888.62</v>
      </c>
      <c r="H435" s="322">
        <v>4679398.38</v>
      </c>
      <c r="I435" s="322">
        <v>10752728.619999999</v>
      </c>
      <c r="J435" s="322"/>
      <c r="K435" s="322"/>
      <c r="L435" s="324">
        <v>3388219.34</v>
      </c>
      <c r="M435" s="325"/>
      <c r="N435" s="325"/>
      <c r="O435" s="326"/>
      <c r="P435" s="326">
        <v>20411285.719999999</v>
      </c>
      <c r="Q435" s="339">
        <v>6441224.7199999997</v>
      </c>
      <c r="R435" s="339">
        <v>12102708.75</v>
      </c>
      <c r="S435" s="339">
        <v>5668849.0700000003</v>
      </c>
      <c r="T435" s="339"/>
      <c r="U435" s="339"/>
      <c r="V435" s="327">
        <v>3405642</v>
      </c>
      <c r="W435" s="322">
        <v>1021692.6</v>
      </c>
      <c r="X435" s="329"/>
      <c r="Y435" s="329"/>
      <c r="Z435" s="329"/>
      <c r="AA435" s="329"/>
      <c r="AB435" s="322">
        <f t="shared" si="190"/>
        <v>72540174.549999997</v>
      </c>
      <c r="AC435" s="319"/>
      <c r="AD435" s="319">
        <v>2024</v>
      </c>
      <c r="AE435" s="319">
        <v>2025</v>
      </c>
      <c r="AF435" s="332"/>
      <c r="AG435" s="332"/>
    </row>
    <row r="436" spans="1:33" ht="24" customHeight="1">
      <c r="A436" s="319">
        <f t="shared" si="191"/>
        <v>25</v>
      </c>
      <c r="B436" s="320" t="s">
        <v>527</v>
      </c>
      <c r="C436" s="321">
        <f t="shared" si="189"/>
        <v>6965255.6200000001</v>
      </c>
      <c r="D436" s="322"/>
      <c r="E436" s="322"/>
      <c r="F436" s="322"/>
      <c r="G436" s="323"/>
      <c r="H436" s="322"/>
      <c r="I436" s="322"/>
      <c r="J436" s="322"/>
      <c r="K436" s="322"/>
      <c r="L436" s="324"/>
      <c r="M436" s="325"/>
      <c r="N436" s="325"/>
      <c r="O436" s="326"/>
      <c r="P436" s="326"/>
      <c r="Q436" s="339"/>
      <c r="R436" s="339"/>
      <c r="S436" s="339">
        <v>6540146.1200000001</v>
      </c>
      <c r="T436" s="339"/>
      <c r="U436" s="339"/>
      <c r="V436" s="327">
        <v>327007.31</v>
      </c>
      <c r="W436" s="322">
        <v>98102.19</v>
      </c>
      <c r="X436" s="329"/>
      <c r="Y436" s="329"/>
      <c r="Z436" s="329"/>
      <c r="AA436" s="329"/>
      <c r="AB436" s="322">
        <f t="shared" si="190"/>
        <v>6965255.6200000001</v>
      </c>
      <c r="AC436" s="319"/>
      <c r="AD436" s="319">
        <v>2024</v>
      </c>
      <c r="AE436" s="319">
        <v>2025</v>
      </c>
      <c r="AF436" s="332"/>
      <c r="AG436" s="332"/>
    </row>
    <row r="437" spans="1:33" ht="24" customHeight="1">
      <c r="A437" s="319">
        <f t="shared" si="191"/>
        <v>26</v>
      </c>
      <c r="B437" s="320" t="s">
        <v>528</v>
      </c>
      <c r="C437" s="321">
        <f t="shared" si="189"/>
        <v>5012813.54</v>
      </c>
      <c r="D437" s="322"/>
      <c r="E437" s="322"/>
      <c r="F437" s="322"/>
      <c r="G437" s="323"/>
      <c r="H437" s="322"/>
      <c r="I437" s="322"/>
      <c r="J437" s="322"/>
      <c r="K437" s="322"/>
      <c r="L437" s="324"/>
      <c r="M437" s="325"/>
      <c r="N437" s="325"/>
      <c r="O437" s="326"/>
      <c r="P437" s="326"/>
      <c r="Q437" s="339"/>
      <c r="R437" s="339"/>
      <c r="S437" s="339">
        <v>4706867.17</v>
      </c>
      <c r="T437" s="339"/>
      <c r="U437" s="339"/>
      <c r="V437" s="327">
        <v>235343.35999999999</v>
      </c>
      <c r="W437" s="322">
        <v>70603.009999999995</v>
      </c>
      <c r="X437" s="329"/>
      <c r="Y437" s="329"/>
      <c r="Z437" s="329"/>
      <c r="AA437" s="329"/>
      <c r="AB437" s="322">
        <f t="shared" si="190"/>
        <v>5012813.54</v>
      </c>
      <c r="AC437" s="319"/>
      <c r="AD437" s="319">
        <v>2024</v>
      </c>
      <c r="AE437" s="319">
        <v>2025</v>
      </c>
      <c r="AF437" s="332"/>
      <c r="AG437" s="332"/>
    </row>
    <row r="438" spans="1:33" ht="24" customHeight="1">
      <c r="A438" s="883" t="s">
        <v>180</v>
      </c>
      <c r="B438" s="883"/>
      <c r="C438" s="6">
        <f>SUM(C412:C437)</f>
        <v>438777873.01999998</v>
      </c>
      <c r="D438" s="6">
        <f t="shared" ref="D438:AC438" si="194">SUM(D412:D437)</f>
        <v>6263886.2699999996</v>
      </c>
      <c r="E438" s="6">
        <f t="shared" si="194"/>
        <v>0</v>
      </c>
      <c r="F438" s="6">
        <f t="shared" si="194"/>
        <v>0</v>
      </c>
      <c r="G438" s="6">
        <f t="shared" si="194"/>
        <v>5079981.8899999997</v>
      </c>
      <c r="H438" s="6">
        <f t="shared" si="194"/>
        <v>8316965.75</v>
      </c>
      <c r="I438" s="6">
        <f t="shared" si="194"/>
        <v>34250935.049999997</v>
      </c>
      <c r="J438" s="398">
        <f t="shared" si="194"/>
        <v>1</v>
      </c>
      <c r="K438" s="6">
        <f t="shared" si="194"/>
        <v>2771340</v>
      </c>
      <c r="L438" s="6">
        <f t="shared" si="194"/>
        <v>7043608.9199999999</v>
      </c>
      <c r="M438" s="6">
        <f t="shared" si="194"/>
        <v>0</v>
      </c>
      <c r="N438" s="398">
        <f t="shared" si="194"/>
        <v>3</v>
      </c>
      <c r="O438" s="6">
        <f t="shared" si="194"/>
        <v>10844952</v>
      </c>
      <c r="P438" s="6">
        <f t="shared" si="194"/>
        <v>222323393.47</v>
      </c>
      <c r="Q438" s="6">
        <f t="shared" si="194"/>
        <v>17501143.190000001</v>
      </c>
      <c r="R438" s="6">
        <f t="shared" si="194"/>
        <v>60763300.149999999</v>
      </c>
      <c r="S438" s="6">
        <f t="shared" si="194"/>
        <v>31679610.899999999</v>
      </c>
      <c r="T438" s="140"/>
      <c r="U438" s="140"/>
      <c r="V438" s="6">
        <f t="shared" si="194"/>
        <v>25845127.379999999</v>
      </c>
      <c r="W438" s="6">
        <f t="shared" si="194"/>
        <v>6093628.0499999998</v>
      </c>
      <c r="X438" s="6">
        <f t="shared" si="194"/>
        <v>0</v>
      </c>
      <c r="Y438" s="6">
        <f t="shared" si="194"/>
        <v>0</v>
      </c>
      <c r="Z438" s="6">
        <f t="shared" si="194"/>
        <v>0</v>
      </c>
      <c r="AA438" s="6">
        <f t="shared" si="194"/>
        <v>0</v>
      </c>
      <c r="AB438" s="6">
        <f t="shared" si="194"/>
        <v>438777873.01999998</v>
      </c>
      <c r="AC438" s="6">
        <f t="shared" si="194"/>
        <v>0</v>
      </c>
      <c r="AD438" s="798" t="s">
        <v>29</v>
      </c>
      <c r="AE438" s="798" t="s">
        <v>29</v>
      </c>
      <c r="AF438" s="808"/>
      <c r="AG438" s="806"/>
    </row>
    <row r="439" spans="1:33" ht="24" customHeight="1">
      <c r="A439" s="888" t="s">
        <v>352</v>
      </c>
      <c r="B439" s="888"/>
      <c r="C439" s="888"/>
      <c r="D439" s="888"/>
      <c r="E439" s="888"/>
      <c r="F439" s="888"/>
      <c r="G439" s="888"/>
      <c r="H439" s="888"/>
      <c r="I439" s="888"/>
      <c r="J439" s="888"/>
      <c r="K439" s="888"/>
      <c r="L439" s="888"/>
      <c r="M439" s="888"/>
      <c r="N439" s="888"/>
      <c r="O439" s="888"/>
      <c r="P439" s="888"/>
      <c r="Q439" s="888"/>
      <c r="R439" s="888"/>
      <c r="S439" s="888"/>
      <c r="T439" s="889"/>
      <c r="U439" s="889"/>
      <c r="V439" s="888"/>
      <c r="W439" s="888"/>
      <c r="X439" s="888"/>
      <c r="Y439" s="888"/>
      <c r="Z439" s="888"/>
      <c r="AA439" s="888"/>
      <c r="AB439" s="888"/>
      <c r="AC439" s="888"/>
      <c r="AD439" s="888"/>
      <c r="AE439" s="888"/>
      <c r="AF439" s="808"/>
      <c r="AG439" s="806"/>
    </row>
    <row r="440" spans="1:33" ht="24" customHeight="1">
      <c r="A440" s="18">
        <f>A437+1</f>
        <v>27</v>
      </c>
      <c r="B440" s="37" t="s">
        <v>507</v>
      </c>
      <c r="C440" s="4">
        <f t="shared" ref="C440:C450" si="195">D440+F440+G440+H440+I440+K440+L440+M440+O440+P440+Q440+R440+S440+W440+V440+X440</f>
        <v>24022162.940000001</v>
      </c>
      <c r="D440" s="796"/>
      <c r="E440" s="796"/>
      <c r="F440" s="796"/>
      <c r="G440" s="795"/>
      <c r="H440" s="796"/>
      <c r="I440" s="796"/>
      <c r="J440" s="796"/>
      <c r="K440" s="796"/>
      <c r="L440" s="795"/>
      <c r="M440" s="795"/>
      <c r="N440" s="795"/>
      <c r="O440" s="795"/>
      <c r="P440" s="796"/>
      <c r="Q440" s="796"/>
      <c r="R440" s="3">
        <v>22591614.760000002</v>
      </c>
      <c r="S440" s="796"/>
      <c r="T440" s="797"/>
      <c r="U440" s="797"/>
      <c r="V440" s="3">
        <v>1312776</v>
      </c>
      <c r="W440" s="177">
        <v>117772.18</v>
      </c>
      <c r="X440" s="796"/>
      <c r="Y440" s="796"/>
      <c r="Z440" s="3">
        <f>C440</f>
        <v>24022162.940000001</v>
      </c>
      <c r="AA440" s="796"/>
      <c r="AB440" s="796"/>
      <c r="AC440" s="796"/>
      <c r="AD440" s="18">
        <v>2024</v>
      </c>
      <c r="AE440" s="18">
        <v>2025</v>
      </c>
      <c r="AF440" s="808"/>
      <c r="AG440" s="806"/>
    </row>
    <row r="441" spans="1:33" ht="24" customHeight="1">
      <c r="A441" s="18">
        <f>A440+1</f>
        <v>28</v>
      </c>
      <c r="B441" s="37" t="s">
        <v>43</v>
      </c>
      <c r="C441" s="4">
        <f>D441+F441+G441+H441+I441+K441+L441+M441+O441+P441+Q441+R441+S441+W441+V441+X441</f>
        <v>14735539.25</v>
      </c>
      <c r="D441" s="9"/>
      <c r="E441" s="38"/>
      <c r="F441" s="9"/>
      <c r="G441" s="12"/>
      <c r="H441" s="13"/>
      <c r="I441" s="13"/>
      <c r="J441" s="21"/>
      <c r="K441" s="9"/>
      <c r="L441" s="22"/>
      <c r="M441" s="22"/>
      <c r="N441" s="22"/>
      <c r="O441" s="22"/>
      <c r="P441" s="15"/>
      <c r="Q441" s="9"/>
      <c r="R441" s="3">
        <f>ROUND(4225.7*3435.59,2)</f>
        <v>14517772.66</v>
      </c>
      <c r="S441" s="13"/>
      <c r="T441" s="110"/>
      <c r="U441" s="110"/>
      <c r="V441" s="15"/>
      <c r="W441" s="24">
        <f>R441*1.5%</f>
        <v>217766.59</v>
      </c>
      <c r="X441" s="15"/>
      <c r="Y441" s="15"/>
      <c r="Z441" s="15"/>
      <c r="AA441" s="15"/>
      <c r="AB441" s="24">
        <f>C441</f>
        <v>14735539.25</v>
      </c>
      <c r="AC441" s="18"/>
      <c r="AD441" s="18">
        <v>2024</v>
      </c>
      <c r="AE441" s="18">
        <v>2024</v>
      </c>
      <c r="AF441" s="808"/>
      <c r="AG441" s="806"/>
    </row>
    <row r="442" spans="1:33" ht="24" customHeight="1">
      <c r="A442" s="18">
        <f>A441+1</f>
        <v>29</v>
      </c>
      <c r="B442" s="37" t="s">
        <v>191</v>
      </c>
      <c r="C442" s="4">
        <f t="shared" si="195"/>
        <v>21792379.010000002</v>
      </c>
      <c r="D442" s="15"/>
      <c r="E442" s="15"/>
      <c r="F442" s="21"/>
      <c r="G442" s="12"/>
      <c r="H442" s="21"/>
      <c r="I442" s="21"/>
      <c r="J442" s="21"/>
      <c r="K442" s="21"/>
      <c r="L442" s="22"/>
      <c r="M442" s="22"/>
      <c r="N442" s="22"/>
      <c r="O442" s="22"/>
      <c r="P442" s="9">
        <f>ROUND(5569.2*3855.19,2)</f>
        <v>21470324.149999999</v>
      </c>
      <c r="Q442" s="15"/>
      <c r="R442" s="15"/>
      <c r="S442" s="15"/>
      <c r="T442" s="119"/>
      <c r="U442" s="119"/>
      <c r="V442" s="15"/>
      <c r="W442" s="24">
        <f>P442*1.5%</f>
        <v>322054.86</v>
      </c>
      <c r="X442" s="15"/>
      <c r="Y442" s="15"/>
      <c r="Z442" s="15"/>
      <c r="AA442" s="15"/>
      <c r="AB442" s="24">
        <f t="shared" ref="AB442:AB444" si="196">C442</f>
        <v>21792379.010000002</v>
      </c>
      <c r="AC442" s="18"/>
      <c r="AD442" s="18">
        <v>2024</v>
      </c>
      <c r="AE442" s="18">
        <v>2024</v>
      </c>
      <c r="AF442" s="808"/>
      <c r="AG442" s="806"/>
    </row>
    <row r="443" spans="1:33" ht="24" customHeight="1">
      <c r="A443" s="18">
        <f t="shared" ref="A443:A454" si="197">A442+1</f>
        <v>30</v>
      </c>
      <c r="B443" s="37" t="s">
        <v>510</v>
      </c>
      <c r="C443" s="4">
        <f t="shared" si="195"/>
        <v>12755552.220000001</v>
      </c>
      <c r="D443" s="15"/>
      <c r="E443" s="15"/>
      <c r="F443" s="21"/>
      <c r="G443" s="12"/>
      <c r="H443" s="21"/>
      <c r="I443" s="21"/>
      <c r="J443" s="21"/>
      <c r="K443" s="21"/>
      <c r="L443" s="22"/>
      <c r="M443" s="22"/>
      <c r="N443" s="22"/>
      <c r="O443" s="22"/>
      <c r="P443" s="177">
        <v>10875842.369999999</v>
      </c>
      <c r="Q443" s="178"/>
      <c r="R443" s="178"/>
      <c r="S443" s="178"/>
      <c r="T443" s="178"/>
      <c r="U443" s="178"/>
      <c r="V443" s="179">
        <f>761308.97+1061419.2</f>
        <v>1822728.17</v>
      </c>
      <c r="W443" s="177">
        <v>56981.68</v>
      </c>
      <c r="X443" s="15"/>
      <c r="Y443" s="15"/>
      <c r="Z443" s="24">
        <f>C443</f>
        <v>12755552.220000001</v>
      </c>
      <c r="AA443" s="15"/>
      <c r="AB443" s="24"/>
      <c r="AC443" s="18"/>
      <c r="AD443" s="18">
        <v>2024</v>
      </c>
      <c r="AE443" s="18">
        <v>2025</v>
      </c>
      <c r="AF443" s="808"/>
      <c r="AG443" s="806"/>
    </row>
    <row r="444" spans="1:33" ht="24" customHeight="1">
      <c r="A444" s="18">
        <f t="shared" si="197"/>
        <v>31</v>
      </c>
      <c r="B444" s="59" t="s">
        <v>192</v>
      </c>
      <c r="C444" s="4">
        <f t="shared" si="195"/>
        <v>5848870.3799999999</v>
      </c>
      <c r="D444" s="15"/>
      <c r="E444" s="15"/>
      <c r="F444" s="21"/>
      <c r="G444" s="12"/>
      <c r="H444" s="21"/>
      <c r="I444" s="21"/>
      <c r="J444" s="21"/>
      <c r="K444" s="21"/>
      <c r="L444" s="22"/>
      <c r="M444" s="22"/>
      <c r="N444" s="22"/>
      <c r="O444" s="22"/>
      <c r="P444" s="9">
        <f>ROUND(1593.1*3617.12,2)</f>
        <v>5762433.8700000001</v>
      </c>
      <c r="Q444" s="15"/>
      <c r="R444" s="15"/>
      <c r="S444" s="15"/>
      <c r="T444" s="119"/>
      <c r="U444" s="119"/>
      <c r="V444" s="15"/>
      <c r="W444" s="24">
        <f>P444*1.5%</f>
        <v>86436.51</v>
      </c>
      <c r="X444" s="15"/>
      <c r="Y444" s="15"/>
      <c r="Z444" s="15"/>
      <c r="AA444" s="15"/>
      <c r="AB444" s="24">
        <f t="shared" si="196"/>
        <v>5848870.3799999999</v>
      </c>
      <c r="AC444" s="18"/>
      <c r="AD444" s="18">
        <v>2024</v>
      </c>
      <c r="AE444" s="18">
        <v>2024</v>
      </c>
      <c r="AF444" s="808"/>
      <c r="AG444" s="806"/>
    </row>
    <row r="445" spans="1:33" ht="24" customHeight="1">
      <c r="A445" s="319">
        <f t="shared" si="197"/>
        <v>32</v>
      </c>
      <c r="B445" s="341" t="s">
        <v>193</v>
      </c>
      <c r="C445" s="321">
        <f t="shared" si="195"/>
        <v>33229761.5</v>
      </c>
      <c r="D445" s="329"/>
      <c r="E445" s="329"/>
      <c r="F445" s="330"/>
      <c r="G445" s="323"/>
      <c r="H445" s="330"/>
      <c r="I445" s="330"/>
      <c r="J445" s="330"/>
      <c r="K445" s="330"/>
      <c r="L445" s="325"/>
      <c r="M445" s="325"/>
      <c r="N445" s="325"/>
      <c r="O445" s="325"/>
      <c r="P445" s="340">
        <v>11140468.300000001</v>
      </c>
      <c r="Q445" s="329"/>
      <c r="R445" s="322">
        <v>20970671.399999999</v>
      </c>
      <c r="S445" s="329"/>
      <c r="T445" s="329"/>
      <c r="U445" s="329"/>
      <c r="V445" s="340">
        <v>745693.6</v>
      </c>
      <c r="W445" s="339">
        <v>372928.2</v>
      </c>
      <c r="X445" s="329"/>
      <c r="Y445" s="329"/>
      <c r="Z445" s="340">
        <v>11944530.029999999</v>
      </c>
      <c r="AA445" s="329"/>
      <c r="AB445" s="339">
        <f>C445-Z445</f>
        <v>21285231.469999999</v>
      </c>
      <c r="AC445" s="319"/>
      <c r="AD445" s="319">
        <v>2024</v>
      </c>
      <c r="AE445" s="319">
        <v>2025</v>
      </c>
      <c r="AF445" s="332"/>
      <c r="AG445" s="332"/>
    </row>
    <row r="446" spans="1:33" ht="24" customHeight="1">
      <c r="A446" s="319">
        <f t="shared" si="197"/>
        <v>33</v>
      </c>
      <c r="B446" s="341" t="s">
        <v>508</v>
      </c>
      <c r="C446" s="321">
        <f>D446+F446+G446+H446+I446+K446+L446+M446+O446+P446+Q446+R446+S446+W446+V446+X446</f>
        <v>29018796.699999999</v>
      </c>
      <c r="D446" s="329"/>
      <c r="E446" s="329"/>
      <c r="F446" s="330"/>
      <c r="G446" s="323"/>
      <c r="H446" s="330"/>
      <c r="I446" s="330"/>
      <c r="J446" s="330"/>
      <c r="K446" s="330"/>
      <c r="L446" s="325"/>
      <c r="M446" s="325"/>
      <c r="N446" s="325"/>
      <c r="O446" s="325"/>
      <c r="P446" s="342">
        <v>13800576.970000001</v>
      </c>
      <c r="Q446" s="329"/>
      <c r="R446" s="342">
        <v>13330919.58</v>
      </c>
      <c r="S446" s="329"/>
      <c r="T446" s="329"/>
      <c r="U446" s="329"/>
      <c r="V446" s="340">
        <v>1745150.4</v>
      </c>
      <c r="W446" s="340">
        <v>142149.75</v>
      </c>
      <c r="X446" s="329"/>
      <c r="Y446" s="329"/>
      <c r="Z446" s="339">
        <f>C446</f>
        <v>29018796.699999999</v>
      </c>
      <c r="AA446" s="329"/>
      <c r="AB446" s="339"/>
      <c r="AC446" s="319"/>
      <c r="AD446" s="319">
        <v>2024</v>
      </c>
      <c r="AE446" s="319">
        <v>2025</v>
      </c>
      <c r="AF446" s="332"/>
      <c r="AG446" s="332"/>
    </row>
    <row r="447" spans="1:33" ht="24" customHeight="1">
      <c r="A447" s="319">
        <f t="shared" si="197"/>
        <v>34</v>
      </c>
      <c r="B447" s="341" t="s">
        <v>509</v>
      </c>
      <c r="C447" s="321">
        <f>D447+F447+G447+H447+I447+K447+L447+M447+O447+P447+Q447+R447+S447+W447+V447+X447</f>
        <v>25518164.109999999</v>
      </c>
      <c r="D447" s="329"/>
      <c r="E447" s="329"/>
      <c r="F447" s="330"/>
      <c r="G447" s="323"/>
      <c r="H447" s="330"/>
      <c r="I447" s="330"/>
      <c r="J447" s="330"/>
      <c r="K447" s="330"/>
      <c r="L447" s="325"/>
      <c r="M447" s="325"/>
      <c r="N447" s="325"/>
      <c r="O447" s="325"/>
      <c r="P447" s="342">
        <v>11203518.43</v>
      </c>
      <c r="Q447" s="343"/>
      <c r="R447" s="342">
        <v>12466087.050000001</v>
      </c>
      <c r="S447" s="329"/>
      <c r="T447" s="329"/>
      <c r="U447" s="329"/>
      <c r="V447" s="340">
        <v>1724546.73</v>
      </c>
      <c r="W447" s="340">
        <v>124011.9</v>
      </c>
      <c r="X447" s="329"/>
      <c r="Y447" s="329"/>
      <c r="Z447" s="339">
        <f>C447</f>
        <v>25518164.109999999</v>
      </c>
      <c r="AA447" s="329"/>
      <c r="AB447" s="339"/>
      <c r="AC447" s="319"/>
      <c r="AD447" s="319">
        <v>2024</v>
      </c>
      <c r="AE447" s="319">
        <v>2025</v>
      </c>
      <c r="AF447" s="332"/>
      <c r="AG447" s="332"/>
    </row>
    <row r="448" spans="1:33" ht="24" customHeight="1">
      <c r="A448" s="319">
        <f t="shared" si="197"/>
        <v>35</v>
      </c>
      <c r="B448" s="387" t="s">
        <v>194</v>
      </c>
      <c r="C448" s="418">
        <f t="shared" ref="C448" si="198">D448+F448+G448+H448+I448+K448+L448+M448+O448+P448+Q448+R448+S448+W448+V448+X448</f>
        <v>41166818.649999999</v>
      </c>
      <c r="D448" s="419"/>
      <c r="E448" s="419"/>
      <c r="F448" s="420"/>
      <c r="G448" s="421"/>
      <c r="H448" s="420"/>
      <c r="I448" s="420"/>
      <c r="J448" s="420"/>
      <c r="K448" s="420"/>
      <c r="L448" s="422"/>
      <c r="M448" s="422"/>
      <c r="N448" s="422"/>
      <c r="O448" s="422"/>
      <c r="P448" s="427">
        <v>24618900.600000001</v>
      </c>
      <c r="Q448" s="423"/>
      <c r="R448" s="424">
        <f>ROUND(4215.4*3435.59,2)</f>
        <v>14482386.09</v>
      </c>
      <c r="S448" s="423"/>
      <c r="T448" s="423"/>
      <c r="U448" s="423"/>
      <c r="V448" s="427">
        <v>1861048.4</v>
      </c>
      <c r="W448" s="425">
        <v>204483.56</v>
      </c>
      <c r="X448" s="419"/>
      <c r="Y448" s="419"/>
      <c r="Z448" s="425">
        <v>26608934.539999999</v>
      </c>
      <c r="AA448" s="419"/>
      <c r="AB448" s="425">
        <f>C448-Z448</f>
        <v>14557884.109999999</v>
      </c>
      <c r="AC448" s="426"/>
      <c r="AD448" s="319">
        <v>2024</v>
      </c>
      <c r="AE448" s="319">
        <v>2025</v>
      </c>
      <c r="AF448" s="332"/>
      <c r="AG448" s="332"/>
    </row>
    <row r="449" spans="1:33" s="76" customFormat="1" ht="24" customHeight="1">
      <c r="A449" s="319">
        <f t="shared" si="197"/>
        <v>36</v>
      </c>
      <c r="B449" s="345" t="s">
        <v>463</v>
      </c>
      <c r="C449" s="321">
        <f t="shared" si="195"/>
        <v>16674518.98</v>
      </c>
      <c r="D449" s="334"/>
      <c r="E449" s="334"/>
      <c r="F449" s="319"/>
      <c r="G449" s="335"/>
      <c r="H449" s="319"/>
      <c r="I449" s="319"/>
      <c r="J449" s="319"/>
      <c r="K449" s="319"/>
      <c r="L449" s="336"/>
      <c r="M449" s="336"/>
      <c r="N449" s="336"/>
      <c r="O449" s="336"/>
      <c r="P449" s="321"/>
      <c r="Q449" s="334"/>
      <c r="R449" s="346">
        <v>15402650.42</v>
      </c>
      <c r="S449" s="334"/>
      <c r="T449" s="334"/>
      <c r="U449" s="334"/>
      <c r="V449" s="321">
        <v>1041984</v>
      </c>
      <c r="W449" s="321">
        <v>229884.56</v>
      </c>
      <c r="X449" s="334"/>
      <c r="Y449" s="334"/>
      <c r="Z449" s="347">
        <f t="shared" ref="Z449:Z450" si="199">C449</f>
        <v>16674518.98</v>
      </c>
      <c r="AA449" s="334"/>
      <c r="AB449" s="347"/>
      <c r="AC449" s="319"/>
      <c r="AD449" s="319">
        <v>2023</v>
      </c>
      <c r="AE449" s="319">
        <v>2025</v>
      </c>
      <c r="AF449" s="92"/>
      <c r="AG449" s="92"/>
    </row>
    <row r="450" spans="1:33" s="76" customFormat="1" ht="24" customHeight="1">
      <c r="A450" s="319">
        <f t="shared" si="197"/>
        <v>37</v>
      </c>
      <c r="B450" s="345" t="s">
        <v>464</v>
      </c>
      <c r="C450" s="321">
        <f t="shared" si="195"/>
        <v>16682695.779999999</v>
      </c>
      <c r="D450" s="334"/>
      <c r="E450" s="334"/>
      <c r="F450" s="319"/>
      <c r="G450" s="335"/>
      <c r="H450" s="319"/>
      <c r="I450" s="319"/>
      <c r="J450" s="319"/>
      <c r="K450" s="319"/>
      <c r="L450" s="336"/>
      <c r="M450" s="336"/>
      <c r="N450" s="336"/>
      <c r="O450" s="336"/>
      <c r="P450" s="321"/>
      <c r="Q450" s="334"/>
      <c r="R450" s="346">
        <v>15402650.42</v>
      </c>
      <c r="S450" s="334"/>
      <c r="T450" s="334"/>
      <c r="U450" s="334"/>
      <c r="V450" s="321">
        <v>1050160.8</v>
      </c>
      <c r="W450" s="321">
        <v>229884.56</v>
      </c>
      <c r="X450" s="334"/>
      <c r="Y450" s="334"/>
      <c r="Z450" s="347">
        <f t="shared" si="199"/>
        <v>16682695.779999999</v>
      </c>
      <c r="AA450" s="334"/>
      <c r="AB450" s="347"/>
      <c r="AC450" s="319"/>
      <c r="AD450" s="319">
        <v>2023</v>
      </c>
      <c r="AE450" s="319">
        <v>2025</v>
      </c>
      <c r="AF450" s="92"/>
      <c r="AG450" s="92"/>
    </row>
    <row r="451" spans="1:33" s="76" customFormat="1" ht="24" customHeight="1">
      <c r="A451" s="18">
        <f t="shared" si="197"/>
        <v>38</v>
      </c>
      <c r="B451" s="37" t="s">
        <v>537</v>
      </c>
      <c r="C451" s="4">
        <f t="shared" ref="C451" si="200">D451+F451+G451+H451+I451+K451+L451+M451+O451+P451+Q451+R451+S451+W451+V451+X451</f>
        <v>11849441.83</v>
      </c>
      <c r="D451" s="71"/>
      <c r="E451" s="71"/>
      <c r="F451" s="18"/>
      <c r="G451" s="19"/>
      <c r="H451" s="18"/>
      <c r="I451" s="18"/>
      <c r="J451" s="18"/>
      <c r="K451" s="18"/>
      <c r="L451" s="807"/>
      <c r="M451" s="807"/>
      <c r="N451" s="807"/>
      <c r="O451" s="807"/>
      <c r="P451" s="4">
        <v>11126236.460000001</v>
      </c>
      <c r="Q451" s="71"/>
      <c r="R451" s="87"/>
      <c r="S451" s="71"/>
      <c r="T451" s="122"/>
      <c r="U451" s="122"/>
      <c r="V451" s="4">
        <v>556311.81999999995</v>
      </c>
      <c r="W451" s="4">
        <v>166893.54999999999</v>
      </c>
      <c r="X451" s="71"/>
      <c r="Y451" s="71"/>
      <c r="Z451" s="69"/>
      <c r="AA451" s="71"/>
      <c r="AB451" s="24">
        <f>C451</f>
        <v>11849441.83</v>
      </c>
      <c r="AC451" s="18"/>
      <c r="AD451" s="18">
        <v>2024</v>
      </c>
      <c r="AE451" s="18">
        <v>2025</v>
      </c>
      <c r="AF451" s="75"/>
      <c r="AG451" s="92"/>
    </row>
    <row r="452" spans="1:33" s="76" customFormat="1" ht="24" customHeight="1">
      <c r="A452" s="18">
        <f t="shared" si="197"/>
        <v>39</v>
      </c>
      <c r="B452" s="37" t="s">
        <v>534</v>
      </c>
      <c r="C452" s="4">
        <f t="shared" ref="C452:C453" si="201">D452+F452+G452+H452+I452+K452+L452+M452+O452+P452+Q452+R452+S452+W452+V452+X452</f>
        <v>11908514.18</v>
      </c>
      <c r="D452" s="71"/>
      <c r="E452" s="71"/>
      <c r="F452" s="18"/>
      <c r="G452" s="19"/>
      <c r="H452" s="18"/>
      <c r="I452" s="18"/>
      <c r="J452" s="18"/>
      <c r="K452" s="18"/>
      <c r="L452" s="807"/>
      <c r="M452" s="807"/>
      <c r="N452" s="807"/>
      <c r="O452" s="807"/>
      <c r="P452" s="4">
        <v>11181703.460000001</v>
      </c>
      <c r="Q452" s="71"/>
      <c r="R452" s="87"/>
      <c r="S452" s="71"/>
      <c r="T452" s="122"/>
      <c r="U452" s="122"/>
      <c r="V452" s="4">
        <v>559085.17000000004</v>
      </c>
      <c r="W452" s="4">
        <v>167725.54999999999</v>
      </c>
      <c r="X452" s="71"/>
      <c r="Y452" s="71"/>
      <c r="Z452" s="69"/>
      <c r="AA452" s="71"/>
      <c r="AB452" s="24">
        <f>C452</f>
        <v>11908514.18</v>
      </c>
      <c r="AC452" s="18"/>
      <c r="AD452" s="18">
        <v>2024</v>
      </c>
      <c r="AE452" s="18">
        <v>2025</v>
      </c>
      <c r="AF452" s="75"/>
      <c r="AG452" s="92"/>
    </row>
    <row r="453" spans="1:33" s="76" customFormat="1" ht="24" customHeight="1">
      <c r="A453" s="18">
        <f t="shared" si="197"/>
        <v>40</v>
      </c>
      <c r="B453" s="37" t="s">
        <v>535</v>
      </c>
      <c r="C453" s="115">
        <f t="shared" si="201"/>
        <v>11928362.51</v>
      </c>
      <c r="D453" s="122"/>
      <c r="E453" s="122"/>
      <c r="F453" s="112"/>
      <c r="G453" s="123"/>
      <c r="H453" s="112"/>
      <c r="I453" s="112"/>
      <c r="J453" s="112"/>
      <c r="K453" s="112"/>
      <c r="L453" s="121"/>
      <c r="M453" s="121"/>
      <c r="N453" s="121"/>
      <c r="O453" s="121"/>
      <c r="P453" s="115">
        <v>11200340.380000001</v>
      </c>
      <c r="Q453" s="122"/>
      <c r="R453" s="124"/>
      <c r="S453" s="122"/>
      <c r="T453" s="122"/>
      <c r="U453" s="122"/>
      <c r="V453" s="115">
        <v>560017.02</v>
      </c>
      <c r="W453" s="115">
        <v>168005.11</v>
      </c>
      <c r="X453" s="122"/>
      <c r="Y453" s="122"/>
      <c r="Z453" s="125"/>
      <c r="AA453" s="122"/>
      <c r="AB453" s="24">
        <f>C453</f>
        <v>11928362.51</v>
      </c>
      <c r="AC453" s="112"/>
      <c r="AD453" s="112">
        <v>2024</v>
      </c>
      <c r="AE453" s="112">
        <v>2025</v>
      </c>
      <c r="AF453" s="75"/>
      <c r="AG453" s="92"/>
    </row>
    <row r="454" spans="1:33" s="76" customFormat="1" ht="24" customHeight="1">
      <c r="A454" s="18">
        <f t="shared" si="197"/>
        <v>41</v>
      </c>
      <c r="B454" s="37" t="s">
        <v>536</v>
      </c>
      <c r="C454" s="115">
        <f t="shared" ref="C454" si="202">D454+F454+G454+H454+I454+K454+L454+M454+O454+P454+Q454+R454+S454+W454+V454+X454</f>
        <v>11944902.77</v>
      </c>
      <c r="D454" s="122"/>
      <c r="E454" s="122"/>
      <c r="F454" s="112"/>
      <c r="G454" s="123"/>
      <c r="H454" s="112"/>
      <c r="I454" s="112"/>
      <c r="J454" s="112"/>
      <c r="K454" s="112"/>
      <c r="L454" s="121"/>
      <c r="M454" s="121"/>
      <c r="N454" s="121"/>
      <c r="O454" s="121"/>
      <c r="P454" s="115">
        <v>11215871.140000001</v>
      </c>
      <c r="Q454" s="122"/>
      <c r="R454" s="124"/>
      <c r="S454" s="122"/>
      <c r="T454" s="122"/>
      <c r="U454" s="122"/>
      <c r="V454" s="115">
        <v>560793.56000000006</v>
      </c>
      <c r="W454" s="115">
        <v>168238.07</v>
      </c>
      <c r="X454" s="122"/>
      <c r="Y454" s="122"/>
      <c r="Z454" s="125"/>
      <c r="AA454" s="122"/>
      <c r="AB454" s="24">
        <f>C454</f>
        <v>11944902.77</v>
      </c>
      <c r="AC454" s="112"/>
      <c r="AD454" s="112">
        <v>2024</v>
      </c>
      <c r="AE454" s="112">
        <v>2025</v>
      </c>
      <c r="AF454" s="75"/>
      <c r="AG454" s="92"/>
    </row>
    <row r="455" spans="1:33" ht="24" customHeight="1">
      <c r="A455" s="883" t="s">
        <v>180</v>
      </c>
      <c r="B455" s="883"/>
      <c r="C455" s="16">
        <f>SUM(C440:C454)</f>
        <v>289076480.81</v>
      </c>
      <c r="D455" s="16">
        <f t="shared" ref="D455:AC455" si="203">SUM(D440:D454)</f>
        <v>0</v>
      </c>
      <c r="E455" s="16">
        <f t="shared" si="203"/>
        <v>0</v>
      </c>
      <c r="F455" s="16">
        <f t="shared" si="203"/>
        <v>0</v>
      </c>
      <c r="G455" s="16">
        <f t="shared" si="203"/>
        <v>0</v>
      </c>
      <c r="H455" s="16">
        <f t="shared" si="203"/>
        <v>0</v>
      </c>
      <c r="I455" s="16">
        <f t="shared" si="203"/>
        <v>0</v>
      </c>
      <c r="J455" s="16">
        <f t="shared" si="203"/>
        <v>0</v>
      </c>
      <c r="K455" s="16">
        <f t="shared" si="203"/>
        <v>0</v>
      </c>
      <c r="L455" s="16">
        <f t="shared" si="203"/>
        <v>0</v>
      </c>
      <c r="M455" s="16">
        <f t="shared" si="203"/>
        <v>0</v>
      </c>
      <c r="N455" s="16">
        <f t="shared" si="203"/>
        <v>0</v>
      </c>
      <c r="O455" s="16">
        <f t="shared" si="203"/>
        <v>0</v>
      </c>
      <c r="P455" s="16">
        <f t="shared" si="203"/>
        <v>143596216.13</v>
      </c>
      <c r="Q455" s="16">
        <f t="shared" si="203"/>
        <v>0</v>
      </c>
      <c r="R455" s="16">
        <f t="shared" si="203"/>
        <v>129164752.38</v>
      </c>
      <c r="S455" s="16">
        <f t="shared" si="203"/>
        <v>0</v>
      </c>
      <c r="T455" s="141"/>
      <c r="U455" s="141"/>
      <c r="V455" s="16">
        <f t="shared" si="203"/>
        <v>13540295.67</v>
      </c>
      <c r="W455" s="16">
        <f t="shared" si="203"/>
        <v>2775216.63</v>
      </c>
      <c r="X455" s="16">
        <f t="shared" si="203"/>
        <v>0</v>
      </c>
      <c r="Y455" s="16">
        <f t="shared" si="203"/>
        <v>0</v>
      </c>
      <c r="Z455" s="16">
        <f t="shared" si="203"/>
        <v>163225355.30000001</v>
      </c>
      <c r="AA455" s="16">
        <f t="shared" si="203"/>
        <v>0</v>
      </c>
      <c r="AB455" s="16">
        <f t="shared" si="203"/>
        <v>125851125.51000001</v>
      </c>
      <c r="AC455" s="16">
        <f t="shared" si="203"/>
        <v>0</v>
      </c>
      <c r="AD455" s="798" t="s">
        <v>29</v>
      </c>
      <c r="AE455" s="798" t="s">
        <v>29</v>
      </c>
      <c r="AF455" s="808"/>
      <c r="AG455" s="806"/>
    </row>
    <row r="456" spans="1:33" ht="24" customHeight="1">
      <c r="A456" s="888" t="s">
        <v>353</v>
      </c>
      <c r="B456" s="888"/>
      <c r="C456" s="888"/>
      <c r="D456" s="888"/>
      <c r="E456" s="888"/>
      <c r="F456" s="888"/>
      <c r="G456" s="888"/>
      <c r="H456" s="888"/>
      <c r="I456" s="888"/>
      <c r="J456" s="888"/>
      <c r="K456" s="888"/>
      <c r="L456" s="888"/>
      <c r="M456" s="888"/>
      <c r="N456" s="888"/>
      <c r="O456" s="888"/>
      <c r="P456" s="888"/>
      <c r="Q456" s="888"/>
      <c r="R456" s="888"/>
      <c r="S456" s="888"/>
      <c r="T456" s="889"/>
      <c r="U456" s="889"/>
      <c r="V456" s="888"/>
      <c r="W456" s="888"/>
      <c r="X456" s="888"/>
      <c r="Y456" s="888"/>
      <c r="Z456" s="888"/>
      <c r="AA456" s="888"/>
      <c r="AB456" s="888"/>
      <c r="AC456" s="888"/>
      <c r="AD456" s="888"/>
      <c r="AE456" s="888"/>
      <c r="AF456" s="808"/>
      <c r="AG456" s="806"/>
    </row>
    <row r="457" spans="1:33" ht="24" customHeight="1">
      <c r="A457" s="18">
        <f>A454+1</f>
        <v>42</v>
      </c>
      <c r="B457" s="60" t="s">
        <v>197</v>
      </c>
      <c r="C457" s="4">
        <f>D457+F457+G457+H457+I457+K457+L457+M457+O457+P457+Q457+R457+S457+W457+V457+X457</f>
        <v>13361228.560000001</v>
      </c>
      <c r="D457" s="9"/>
      <c r="E457" s="38"/>
      <c r="F457" s="9"/>
      <c r="G457" s="12"/>
      <c r="H457" s="13"/>
      <c r="I457" s="13"/>
      <c r="J457" s="21"/>
      <c r="K457" s="9"/>
      <c r="L457" s="12"/>
      <c r="M457" s="22"/>
      <c r="N457" s="22"/>
      <c r="O457" s="22"/>
      <c r="P457" s="24">
        <f>3329.6*3727.29</f>
        <v>12410384.779999999</v>
      </c>
      <c r="Q457" s="9"/>
      <c r="R457" s="15"/>
      <c r="S457" s="13"/>
      <c r="T457" s="144"/>
      <c r="U457" s="144"/>
      <c r="V457" s="8">
        <v>764688</v>
      </c>
      <c r="W457" s="24">
        <v>186155.78</v>
      </c>
      <c r="X457" s="15"/>
      <c r="Y457" s="15"/>
      <c r="Z457" s="15"/>
      <c r="AA457" s="15"/>
      <c r="AB457" s="24">
        <f>C457</f>
        <v>13361228.560000001</v>
      </c>
      <c r="AC457" s="18"/>
      <c r="AD457" s="18">
        <v>2024</v>
      </c>
      <c r="AE457" s="18">
        <v>2024</v>
      </c>
      <c r="AF457" s="808"/>
      <c r="AG457" s="806"/>
    </row>
    <row r="458" spans="1:33" ht="24" customHeight="1">
      <c r="A458" s="18">
        <f>A457+1</f>
        <v>43</v>
      </c>
      <c r="B458" s="20" t="s">
        <v>1239</v>
      </c>
      <c r="C458" s="4">
        <f t="shared" ref="C458:C464" si="204">D458+F458+G458+H458+I458+K458+L458+M458+O458+P458+Q458+R458+S458+W458+V458+X458</f>
        <v>14101120.34</v>
      </c>
      <c r="D458" s="9"/>
      <c r="E458" s="15"/>
      <c r="F458" s="21"/>
      <c r="G458" s="12"/>
      <c r="H458" s="21"/>
      <c r="I458" s="13"/>
      <c r="J458" s="21"/>
      <c r="K458" s="9"/>
      <c r="L458" s="12"/>
      <c r="M458" s="22"/>
      <c r="N458" s="22"/>
      <c r="O458" s="22"/>
      <c r="P458" s="24">
        <f>3531.2*3727.29</f>
        <v>13161806.449999999</v>
      </c>
      <c r="Q458" s="21"/>
      <c r="R458" s="15"/>
      <c r="S458" s="15"/>
      <c r="T458" s="119"/>
      <c r="U458" s="119"/>
      <c r="V458" s="3">
        <v>741886.8</v>
      </c>
      <c r="W458" s="24">
        <v>197427.09</v>
      </c>
      <c r="X458" s="15"/>
      <c r="Y458" s="15"/>
      <c r="Z458" s="15"/>
      <c r="AA458" s="15"/>
      <c r="AB458" s="24">
        <f t="shared" ref="AB458:AB464" si="205">C458</f>
        <v>14101120.34</v>
      </c>
      <c r="AC458" s="18"/>
      <c r="AD458" s="18">
        <v>2024</v>
      </c>
      <c r="AE458" s="18">
        <v>2024</v>
      </c>
      <c r="AF458" s="808"/>
      <c r="AG458" s="806"/>
    </row>
    <row r="459" spans="1:33" ht="24" customHeight="1">
      <c r="A459" s="18">
        <f t="shared" ref="A459:A464" si="206">A458+1</f>
        <v>44</v>
      </c>
      <c r="B459" s="20" t="s">
        <v>540</v>
      </c>
      <c r="C459" s="4">
        <f t="shared" si="204"/>
        <v>26669062.219999999</v>
      </c>
      <c r="D459" s="108"/>
      <c r="E459" s="119"/>
      <c r="F459" s="107"/>
      <c r="G459" s="109"/>
      <c r="H459" s="107"/>
      <c r="I459" s="110">
        <v>10164101.5</v>
      </c>
      <c r="J459" s="107"/>
      <c r="K459" s="108"/>
      <c r="L459" s="109"/>
      <c r="M459" s="113"/>
      <c r="N459" s="113"/>
      <c r="O459" s="113"/>
      <c r="P459" s="111">
        <v>14877271.470000001</v>
      </c>
      <c r="Q459" s="107"/>
      <c r="R459" s="119"/>
      <c r="S459" s="119"/>
      <c r="T459" s="119"/>
      <c r="U459" s="119"/>
      <c r="V459" s="116">
        <v>1252068.6499999999</v>
      </c>
      <c r="W459" s="111">
        <v>375620.6</v>
      </c>
      <c r="X459" s="119"/>
      <c r="Y459" s="119"/>
      <c r="Z459" s="119"/>
      <c r="AA459" s="119"/>
      <c r="AB459" s="24">
        <f t="shared" si="205"/>
        <v>26669062.219999999</v>
      </c>
      <c r="AC459" s="112"/>
      <c r="AD459" s="112">
        <v>2024</v>
      </c>
      <c r="AE459" s="112">
        <v>2025</v>
      </c>
      <c r="AF459" s="808"/>
      <c r="AG459" s="806"/>
    </row>
    <row r="460" spans="1:33" ht="24" customHeight="1">
      <c r="A460" s="18">
        <f t="shared" si="206"/>
        <v>45</v>
      </c>
      <c r="B460" s="20" t="s">
        <v>538</v>
      </c>
      <c r="C460" s="4">
        <f t="shared" si="204"/>
        <v>28356256</v>
      </c>
      <c r="D460" s="108"/>
      <c r="E460" s="119"/>
      <c r="F460" s="107"/>
      <c r="G460" s="109"/>
      <c r="H460" s="110"/>
      <c r="I460" s="110"/>
      <c r="J460" s="107"/>
      <c r="K460" s="108"/>
      <c r="L460" s="109"/>
      <c r="M460" s="113"/>
      <c r="N460" s="113"/>
      <c r="O460" s="113"/>
      <c r="P460" s="111">
        <v>15201246.43</v>
      </c>
      <c r="Q460" s="107"/>
      <c r="R460" s="111">
        <v>11424346.060000001</v>
      </c>
      <c r="S460" s="119"/>
      <c r="T460" s="119"/>
      <c r="U460" s="119"/>
      <c r="V460" s="116">
        <v>1331279.6200000001</v>
      </c>
      <c r="W460" s="111">
        <v>399383.89</v>
      </c>
      <c r="X460" s="119"/>
      <c r="Y460" s="119"/>
      <c r="Z460" s="119"/>
      <c r="AA460" s="119"/>
      <c r="AB460" s="111">
        <f>C460</f>
        <v>28356256</v>
      </c>
      <c r="AC460" s="112"/>
      <c r="AD460" s="112">
        <v>2024</v>
      </c>
      <c r="AE460" s="112">
        <v>2025</v>
      </c>
      <c r="AF460" s="808"/>
      <c r="AG460" s="806"/>
    </row>
    <row r="461" spans="1:33" ht="24" customHeight="1">
      <c r="A461" s="18">
        <f t="shared" si="206"/>
        <v>46</v>
      </c>
      <c r="B461" s="20" t="s">
        <v>539</v>
      </c>
      <c r="C461" s="4">
        <f t="shared" ref="C461" si="207">D461+F461+G461+H461+I461+K461+L461+M461+O461+P461+Q461+R461+S461+W461+V461+X461</f>
        <v>11527615.640000001</v>
      </c>
      <c r="D461" s="108"/>
      <c r="E461" s="119"/>
      <c r="F461" s="107"/>
      <c r="G461" s="109"/>
      <c r="H461" s="110"/>
      <c r="I461" s="110"/>
      <c r="J461" s="107"/>
      <c r="K461" s="108"/>
      <c r="L461" s="109"/>
      <c r="M461" s="113"/>
      <c r="N461" s="113"/>
      <c r="O461" s="113"/>
      <c r="P461" s="111">
        <v>10824052.25</v>
      </c>
      <c r="Q461" s="107"/>
      <c r="R461" s="111"/>
      <c r="S461" s="119"/>
      <c r="T461" s="119"/>
      <c r="U461" s="119"/>
      <c r="V461" s="116">
        <v>541202.61</v>
      </c>
      <c r="W461" s="111">
        <v>162360.78</v>
      </c>
      <c r="X461" s="119"/>
      <c r="Y461" s="119"/>
      <c r="Z461" s="119"/>
      <c r="AA461" s="119"/>
      <c r="AB461" s="111">
        <f>C461</f>
        <v>11527615.640000001</v>
      </c>
      <c r="AC461" s="112"/>
      <c r="AD461" s="112">
        <v>2024</v>
      </c>
      <c r="AE461" s="112">
        <v>2025</v>
      </c>
      <c r="AF461" s="808"/>
      <c r="AG461" s="806"/>
    </row>
    <row r="462" spans="1:33" ht="24" customHeight="1">
      <c r="A462" s="18">
        <f t="shared" si="206"/>
        <v>47</v>
      </c>
      <c r="B462" s="20" t="s">
        <v>195</v>
      </c>
      <c r="C462" s="4">
        <f>D462+F462+G462+H462+I462+K462+L462+M462+O462+P462+Q462+R462+S462+W462+V462+X462</f>
        <v>1550424.17</v>
      </c>
      <c r="D462" s="9"/>
      <c r="E462" s="15"/>
      <c r="F462" s="21"/>
      <c r="G462" s="12"/>
      <c r="H462" s="13"/>
      <c r="I462" s="13"/>
      <c r="J462" s="21"/>
      <c r="K462" s="9"/>
      <c r="L462" s="12"/>
      <c r="M462" s="22"/>
      <c r="N462" s="22"/>
      <c r="O462" s="22"/>
      <c r="P462" s="21"/>
      <c r="Q462" s="21">
        <f>1579.5*706.71</f>
        <v>1116248.4450000001</v>
      </c>
      <c r="R462" s="15"/>
      <c r="S462" s="15"/>
      <c r="T462" s="119"/>
      <c r="U462" s="119"/>
      <c r="V462" s="3">
        <v>417432</v>
      </c>
      <c r="W462" s="24">
        <v>16743.72</v>
      </c>
      <c r="X462" s="15"/>
      <c r="Y462" s="15"/>
      <c r="Z462" s="15"/>
      <c r="AA462" s="15"/>
      <c r="AB462" s="24">
        <f>C462</f>
        <v>1550424.17</v>
      </c>
      <c r="AC462" s="18"/>
      <c r="AD462" s="18">
        <v>2024</v>
      </c>
      <c r="AE462" s="18">
        <v>2024</v>
      </c>
      <c r="AF462" s="808"/>
      <c r="AG462" s="806"/>
    </row>
    <row r="463" spans="1:33" ht="24" customHeight="1">
      <c r="A463" s="18">
        <f t="shared" si="206"/>
        <v>48</v>
      </c>
      <c r="B463" s="20" t="s">
        <v>196</v>
      </c>
      <c r="C463" s="4">
        <f t="shared" si="204"/>
        <v>17391624.91</v>
      </c>
      <c r="D463" s="9"/>
      <c r="E463" s="15"/>
      <c r="F463" s="21"/>
      <c r="G463" s="12"/>
      <c r="H463" s="13"/>
      <c r="I463" s="13"/>
      <c r="J463" s="21"/>
      <c r="K463" s="9"/>
      <c r="L463" s="12"/>
      <c r="M463" s="22"/>
      <c r="N463" s="22"/>
      <c r="O463" s="22"/>
      <c r="P463" s="24">
        <f>4386.8*3727.29</f>
        <v>16350875.77</v>
      </c>
      <c r="Q463" s="21"/>
      <c r="R463" s="15"/>
      <c r="S463" s="15"/>
      <c r="T463" s="119"/>
      <c r="U463" s="119"/>
      <c r="V463" s="3">
        <v>795486</v>
      </c>
      <c r="W463" s="24">
        <f>P463*1.5%</f>
        <v>245263.14</v>
      </c>
      <c r="X463" s="15"/>
      <c r="Y463" s="15"/>
      <c r="Z463" s="15"/>
      <c r="AA463" s="15"/>
      <c r="AB463" s="24">
        <f t="shared" si="205"/>
        <v>17391624.91</v>
      </c>
      <c r="AC463" s="18"/>
      <c r="AD463" s="18">
        <v>2024</v>
      </c>
      <c r="AE463" s="18">
        <v>2024</v>
      </c>
      <c r="AF463" s="808"/>
      <c r="AG463" s="806"/>
    </row>
    <row r="464" spans="1:33" ht="24" customHeight="1">
      <c r="A464" s="18">
        <f t="shared" si="206"/>
        <v>49</v>
      </c>
      <c r="B464" s="20" t="s">
        <v>51</v>
      </c>
      <c r="C464" s="4">
        <f t="shared" si="204"/>
        <v>2637370.71</v>
      </c>
      <c r="D464" s="4"/>
      <c r="E464" s="71"/>
      <c r="F464" s="18"/>
      <c r="G464" s="19"/>
      <c r="H464" s="73"/>
      <c r="I464" s="73"/>
      <c r="J464" s="87">
        <v>1</v>
      </c>
      <c r="K464" s="4">
        <v>2501151.2400000002</v>
      </c>
      <c r="L464" s="19"/>
      <c r="M464" s="807"/>
      <c r="N464" s="807"/>
      <c r="O464" s="807"/>
      <c r="P464" s="71"/>
      <c r="Q464" s="71"/>
      <c r="R464" s="71"/>
      <c r="S464" s="71"/>
      <c r="T464" s="122"/>
      <c r="U464" s="122"/>
      <c r="V464" s="74">
        <v>98702.2</v>
      </c>
      <c r="W464" s="69">
        <f t="shared" ref="W464" si="208">ROUND((D464+F464+G464+H464+I464+K464+Q464+S464+L464)*1.5%,2)</f>
        <v>37517.269999999997</v>
      </c>
      <c r="X464" s="71"/>
      <c r="Y464" s="71"/>
      <c r="Z464" s="71"/>
      <c r="AA464" s="71"/>
      <c r="AB464" s="69">
        <f t="shared" si="205"/>
        <v>2637370.71</v>
      </c>
      <c r="AC464" s="18"/>
      <c r="AD464" s="18">
        <v>2023</v>
      </c>
      <c r="AE464" s="18">
        <v>2024</v>
      </c>
      <c r="AF464" s="808"/>
      <c r="AG464" s="806"/>
    </row>
    <row r="465" spans="1:33" s="148" customFormat="1" ht="24" customHeight="1">
      <c r="A465" s="883" t="s">
        <v>180</v>
      </c>
      <c r="B465" s="883"/>
      <c r="C465" s="16">
        <f>SUM(C457:C464)</f>
        <v>115594702.55</v>
      </c>
      <c r="D465" s="16">
        <f t="shared" ref="D465:AC465" si="209">SUM(D457:D464)</f>
        <v>0</v>
      </c>
      <c r="E465" s="16">
        <f t="shared" si="209"/>
        <v>0</v>
      </c>
      <c r="F465" s="16">
        <f t="shared" si="209"/>
        <v>0</v>
      </c>
      <c r="G465" s="16">
        <f t="shared" si="209"/>
        <v>0</v>
      </c>
      <c r="H465" s="16">
        <f t="shared" si="209"/>
        <v>0</v>
      </c>
      <c r="I465" s="16">
        <f t="shared" si="209"/>
        <v>10164101.5</v>
      </c>
      <c r="J465" s="396">
        <f t="shared" si="209"/>
        <v>1</v>
      </c>
      <c r="K465" s="16">
        <f t="shared" si="209"/>
        <v>2501151.2400000002</v>
      </c>
      <c r="L465" s="16">
        <f t="shared" si="209"/>
        <v>0</v>
      </c>
      <c r="M465" s="16">
        <f t="shared" si="209"/>
        <v>0</v>
      </c>
      <c r="N465" s="16">
        <f t="shared" si="209"/>
        <v>0</v>
      </c>
      <c r="O465" s="16">
        <f t="shared" si="209"/>
        <v>0</v>
      </c>
      <c r="P465" s="16">
        <f t="shared" si="209"/>
        <v>82825637.150000006</v>
      </c>
      <c r="Q465" s="16">
        <f t="shared" si="209"/>
        <v>1116248.45</v>
      </c>
      <c r="R465" s="16">
        <f t="shared" si="209"/>
        <v>11424346.060000001</v>
      </c>
      <c r="S465" s="16">
        <f t="shared" si="209"/>
        <v>0</v>
      </c>
      <c r="T465" s="141"/>
      <c r="U465" s="141"/>
      <c r="V465" s="16">
        <f t="shared" si="209"/>
        <v>5942745.8799999999</v>
      </c>
      <c r="W465" s="16">
        <f t="shared" si="209"/>
        <v>1620472.27</v>
      </c>
      <c r="X465" s="16">
        <f t="shared" si="209"/>
        <v>0</v>
      </c>
      <c r="Y465" s="16">
        <f t="shared" si="209"/>
        <v>0</v>
      </c>
      <c r="Z465" s="16">
        <f t="shared" si="209"/>
        <v>0</v>
      </c>
      <c r="AA465" s="16">
        <f t="shared" si="209"/>
        <v>0</v>
      </c>
      <c r="AB465" s="16">
        <f t="shared" si="209"/>
        <v>115594702.55</v>
      </c>
      <c r="AC465" s="16">
        <f t="shared" si="209"/>
        <v>0</v>
      </c>
      <c r="AD465" s="798" t="s">
        <v>29</v>
      </c>
      <c r="AE465" s="798" t="s">
        <v>29</v>
      </c>
      <c r="AF465" s="146"/>
      <c r="AG465" s="147"/>
    </row>
    <row r="466" spans="1:33" ht="24" customHeight="1">
      <c r="A466" s="888" t="s">
        <v>354</v>
      </c>
      <c r="B466" s="888"/>
      <c r="C466" s="888"/>
      <c r="D466" s="888"/>
      <c r="E466" s="888"/>
      <c r="F466" s="888"/>
      <c r="G466" s="888"/>
      <c r="H466" s="888"/>
      <c r="I466" s="888"/>
      <c r="J466" s="888"/>
      <c r="K466" s="888"/>
      <c r="L466" s="888"/>
      <c r="M466" s="888"/>
      <c r="N466" s="888"/>
      <c r="O466" s="888"/>
      <c r="P466" s="888"/>
      <c r="Q466" s="888"/>
      <c r="R466" s="888"/>
      <c r="S466" s="888"/>
      <c r="T466" s="889"/>
      <c r="U466" s="889"/>
      <c r="V466" s="888"/>
      <c r="W466" s="888"/>
      <c r="X466" s="888"/>
      <c r="Y466" s="888"/>
      <c r="Z466" s="888"/>
      <c r="AA466" s="888"/>
      <c r="AB466" s="888"/>
      <c r="AC466" s="888"/>
      <c r="AD466" s="888"/>
      <c r="AE466" s="888"/>
      <c r="AF466" s="808"/>
      <c r="AG466" s="806"/>
    </row>
    <row r="467" spans="1:33" ht="24" customHeight="1">
      <c r="A467" s="112">
        <f>A464+1</f>
        <v>50</v>
      </c>
      <c r="B467" s="194" t="s">
        <v>531</v>
      </c>
      <c r="C467" s="180">
        <f t="shared" ref="C467:C483" si="210">D467+F467+G467+H467+I467+K467+L467+M467+O467+P467+Q467+R467+S467+W467+V467+X467</f>
        <v>14052558.4</v>
      </c>
      <c r="D467" s="188"/>
      <c r="E467" s="188"/>
      <c r="F467" s="188"/>
      <c r="G467" s="195"/>
      <c r="H467" s="188"/>
      <c r="I467" s="188"/>
      <c r="J467" s="188"/>
      <c r="K467" s="188"/>
      <c r="L467" s="195"/>
      <c r="M467" s="195"/>
      <c r="N467" s="195"/>
      <c r="O467" s="195"/>
      <c r="P467" s="196">
        <v>13152640.869999999</v>
      </c>
      <c r="Q467" s="188"/>
      <c r="R467" s="188"/>
      <c r="S467" s="188"/>
      <c r="T467" s="188"/>
      <c r="U467" s="188"/>
      <c r="V467" s="197">
        <v>702627.92</v>
      </c>
      <c r="W467" s="197">
        <v>197289.61</v>
      </c>
      <c r="X467" s="188"/>
      <c r="Y467" s="188"/>
      <c r="Z467" s="188"/>
      <c r="AA467" s="188"/>
      <c r="AB467" s="187">
        <f>C467</f>
        <v>14052558.4</v>
      </c>
      <c r="AC467" s="198"/>
      <c r="AD467" s="188">
        <v>2024</v>
      </c>
      <c r="AE467" s="188">
        <v>2025</v>
      </c>
      <c r="AF467" s="808"/>
      <c r="AG467" s="806"/>
    </row>
    <row r="468" spans="1:33" s="26" customFormat="1" ht="24" customHeight="1">
      <c r="A468" s="112">
        <f>A467+1</f>
        <v>51</v>
      </c>
      <c r="B468" s="194" t="s">
        <v>1240</v>
      </c>
      <c r="C468" s="180">
        <f t="shared" si="210"/>
        <v>9166542.5899999999</v>
      </c>
      <c r="D468" s="181"/>
      <c r="E468" s="181"/>
      <c r="F468" s="181"/>
      <c r="G468" s="182"/>
      <c r="H468" s="183"/>
      <c r="I468" s="183"/>
      <c r="J468" s="872"/>
      <c r="K468" s="181"/>
      <c r="L468" s="182"/>
      <c r="M468" s="185"/>
      <c r="N468" s="185"/>
      <c r="O468" s="185"/>
      <c r="P468" s="199">
        <v>8150136.9400000004</v>
      </c>
      <c r="Q468" s="181"/>
      <c r="R468" s="184"/>
      <c r="S468" s="183"/>
      <c r="T468" s="183"/>
      <c r="U468" s="183"/>
      <c r="V468" s="186">
        <v>894153.6</v>
      </c>
      <c r="W468" s="187">
        <v>122252.05</v>
      </c>
      <c r="X468" s="184"/>
      <c r="Y468" s="184"/>
      <c r="Z468" s="184"/>
      <c r="AA468" s="184"/>
      <c r="AB468" s="187">
        <f>C468</f>
        <v>9166542.5899999999</v>
      </c>
      <c r="AC468" s="188"/>
      <c r="AD468" s="188">
        <v>2024</v>
      </c>
      <c r="AE468" s="188">
        <v>2024</v>
      </c>
      <c r="AF468" s="25"/>
      <c r="AG468" s="91"/>
    </row>
    <row r="469" spans="1:33" s="26" customFormat="1" ht="24" customHeight="1">
      <c r="A469" s="112">
        <f t="shared" ref="A469:A483" si="211">A468+1</f>
        <v>52</v>
      </c>
      <c r="B469" s="194" t="s">
        <v>530</v>
      </c>
      <c r="C469" s="180">
        <f t="shared" si="210"/>
        <v>13680996.59</v>
      </c>
      <c r="D469" s="181"/>
      <c r="E469" s="181"/>
      <c r="F469" s="181"/>
      <c r="G469" s="182"/>
      <c r="H469" s="183"/>
      <c r="I469" s="183"/>
      <c r="J469" s="872"/>
      <c r="K469" s="181"/>
      <c r="L469" s="182"/>
      <c r="M469" s="185"/>
      <c r="N469" s="185"/>
      <c r="O469" s="185"/>
      <c r="P469" s="181">
        <v>12814833.369999999</v>
      </c>
      <c r="Q469" s="181"/>
      <c r="R469" s="184"/>
      <c r="S469" s="183"/>
      <c r="T469" s="183"/>
      <c r="U469" s="183"/>
      <c r="V469" s="186">
        <v>673940.72</v>
      </c>
      <c r="W469" s="187">
        <v>192222.5</v>
      </c>
      <c r="X469" s="184"/>
      <c r="Y469" s="184"/>
      <c r="Z469" s="184"/>
      <c r="AA469" s="184"/>
      <c r="AB469" s="187">
        <f>C469</f>
        <v>13680996.59</v>
      </c>
      <c r="AC469" s="188"/>
      <c r="AD469" s="188">
        <v>2024</v>
      </c>
      <c r="AE469" s="188">
        <v>2025</v>
      </c>
      <c r="AF469" s="25"/>
      <c r="AG469" s="91"/>
    </row>
    <row r="470" spans="1:33" s="26" customFormat="1" ht="24" customHeight="1">
      <c r="A470" s="112">
        <f t="shared" si="211"/>
        <v>53</v>
      </c>
      <c r="B470" s="194" t="s">
        <v>198</v>
      </c>
      <c r="C470" s="180">
        <f t="shared" si="210"/>
        <v>18297084.82</v>
      </c>
      <c r="D470" s="181">
        <v>2174518.16</v>
      </c>
      <c r="E470" s="184"/>
      <c r="F470" s="184"/>
      <c r="G470" s="182">
        <v>2198479.6</v>
      </c>
      <c r="H470" s="181">
        <v>3961930.22</v>
      </c>
      <c r="I470" s="183">
        <v>3212674.75</v>
      </c>
      <c r="J470" s="872">
        <v>1</v>
      </c>
      <c r="K470" s="181">
        <v>2464188.41</v>
      </c>
      <c r="L470" s="182">
        <v>2544777.5499999998</v>
      </c>
      <c r="M470" s="185"/>
      <c r="N470" s="185"/>
      <c r="O470" s="185"/>
      <c r="P470" s="184"/>
      <c r="Q470" s="184"/>
      <c r="R470" s="184"/>
      <c r="S470" s="184"/>
      <c r="T470" s="184"/>
      <c r="U470" s="184"/>
      <c r="V470" s="186">
        <v>1492167.6</v>
      </c>
      <c r="W470" s="187">
        <v>248348.53</v>
      </c>
      <c r="X470" s="184"/>
      <c r="Y470" s="184"/>
      <c r="Z470" s="184"/>
      <c r="AA470" s="184"/>
      <c r="AB470" s="187">
        <f t="shared" ref="AB470:AB483" si="212">C470</f>
        <v>18297084.82</v>
      </c>
      <c r="AC470" s="188"/>
      <c r="AD470" s="188">
        <v>2024</v>
      </c>
      <c r="AE470" s="188">
        <v>2024</v>
      </c>
      <c r="AF470" s="25"/>
      <c r="AG470" s="91"/>
    </row>
    <row r="471" spans="1:33" s="26" customFormat="1" ht="24" customHeight="1">
      <c r="A471" s="112">
        <f t="shared" si="211"/>
        <v>54</v>
      </c>
      <c r="B471" s="194" t="s">
        <v>533</v>
      </c>
      <c r="C471" s="180">
        <f t="shared" si="210"/>
        <v>22384552.960000001</v>
      </c>
      <c r="D471" s="181"/>
      <c r="E471" s="184"/>
      <c r="F471" s="184"/>
      <c r="G471" s="182"/>
      <c r="H471" s="181"/>
      <c r="I471" s="183"/>
      <c r="J471" s="872"/>
      <c r="K471" s="181"/>
      <c r="L471" s="182"/>
      <c r="M471" s="185"/>
      <c r="N471" s="185"/>
      <c r="O471" s="185"/>
      <c r="P471" s="187">
        <v>12569898.609999999</v>
      </c>
      <c r="Q471" s="184"/>
      <c r="R471" s="187">
        <v>8397456.6799999997</v>
      </c>
      <c r="S471" s="184"/>
      <c r="T471" s="184"/>
      <c r="U471" s="184"/>
      <c r="V471" s="186">
        <v>1102687.3400000001</v>
      </c>
      <c r="W471" s="187">
        <v>314510.33</v>
      </c>
      <c r="X471" s="184"/>
      <c r="Y471" s="184"/>
      <c r="Z471" s="184"/>
      <c r="AA471" s="184"/>
      <c r="AB471" s="187">
        <f t="shared" si="212"/>
        <v>22384552.960000001</v>
      </c>
      <c r="AC471" s="188"/>
      <c r="AD471" s="188">
        <v>2024</v>
      </c>
      <c r="AE471" s="188">
        <v>2024</v>
      </c>
      <c r="AF471" s="25"/>
      <c r="AG471" s="91"/>
    </row>
    <row r="472" spans="1:33" s="26" customFormat="1" ht="24" customHeight="1">
      <c r="A472" s="112">
        <f t="shared" si="211"/>
        <v>55</v>
      </c>
      <c r="B472" s="194" t="s">
        <v>532</v>
      </c>
      <c r="C472" s="180">
        <f t="shared" si="210"/>
        <v>15332573.800000001</v>
      </c>
      <c r="D472" s="181"/>
      <c r="E472" s="184"/>
      <c r="F472" s="184"/>
      <c r="G472" s="182"/>
      <c r="H472" s="181"/>
      <c r="I472" s="183"/>
      <c r="J472" s="872"/>
      <c r="K472" s="181"/>
      <c r="L472" s="182"/>
      <c r="M472" s="185"/>
      <c r="N472" s="185"/>
      <c r="O472" s="185"/>
      <c r="P472" s="187">
        <v>8609906.0600000005</v>
      </c>
      <c r="Q472" s="184"/>
      <c r="R472" s="187">
        <v>5751940.8399999999</v>
      </c>
      <c r="S472" s="184"/>
      <c r="T472" s="184"/>
      <c r="U472" s="184"/>
      <c r="V472" s="186">
        <v>755299.2</v>
      </c>
      <c r="W472" s="187">
        <v>215427.7</v>
      </c>
      <c r="X472" s="184"/>
      <c r="Y472" s="184"/>
      <c r="Z472" s="184"/>
      <c r="AA472" s="184"/>
      <c r="AB472" s="187">
        <f t="shared" si="212"/>
        <v>15332573.800000001</v>
      </c>
      <c r="AC472" s="188"/>
      <c r="AD472" s="188">
        <v>2024</v>
      </c>
      <c r="AE472" s="188">
        <v>2024</v>
      </c>
      <c r="AF472" s="25"/>
      <c r="AG472" s="91"/>
    </row>
    <row r="473" spans="1:33" s="26" customFormat="1" ht="24" customHeight="1">
      <c r="A473" s="112">
        <f t="shared" si="211"/>
        <v>56</v>
      </c>
      <c r="B473" s="194" t="s">
        <v>199</v>
      </c>
      <c r="C473" s="180">
        <f t="shared" si="210"/>
        <v>7349606.2199999997</v>
      </c>
      <c r="D473" s="181"/>
      <c r="E473" s="184"/>
      <c r="F473" s="184"/>
      <c r="G473" s="182"/>
      <c r="H473" s="183"/>
      <c r="I473" s="183"/>
      <c r="J473" s="872"/>
      <c r="K473" s="181"/>
      <c r="L473" s="182"/>
      <c r="M473" s="185"/>
      <c r="N473" s="185"/>
      <c r="O473" s="185"/>
      <c r="P473" s="184"/>
      <c r="Q473" s="181">
        <v>3660085.23</v>
      </c>
      <c r="R473" s="184"/>
      <c r="S473" s="181">
        <v>2739843.26</v>
      </c>
      <c r="T473" s="181"/>
      <c r="U473" s="181"/>
      <c r="V473" s="186">
        <v>853678.8</v>
      </c>
      <c r="W473" s="187">
        <v>95998.93</v>
      </c>
      <c r="X473" s="184"/>
      <c r="Y473" s="184"/>
      <c r="Z473" s="184"/>
      <c r="AA473" s="184"/>
      <c r="AB473" s="187">
        <f t="shared" si="212"/>
        <v>7349606.2199999997</v>
      </c>
      <c r="AC473" s="188"/>
      <c r="AD473" s="188">
        <v>2024</v>
      </c>
      <c r="AE473" s="188">
        <v>2024</v>
      </c>
      <c r="AF473" s="25"/>
      <c r="AG473" s="91"/>
    </row>
    <row r="474" spans="1:33" s="26" customFormat="1" ht="24" customHeight="1">
      <c r="A474" s="112">
        <f t="shared" si="211"/>
        <v>57</v>
      </c>
      <c r="B474" s="194" t="s">
        <v>200</v>
      </c>
      <c r="C474" s="180">
        <f t="shared" si="210"/>
        <v>10564064.66</v>
      </c>
      <c r="D474" s="181"/>
      <c r="E474" s="184"/>
      <c r="F474" s="184"/>
      <c r="G474" s="182"/>
      <c r="H474" s="183"/>
      <c r="I474" s="183"/>
      <c r="J474" s="872"/>
      <c r="K474" s="181"/>
      <c r="L474" s="182"/>
      <c r="M474" s="185"/>
      <c r="N474" s="185"/>
      <c r="O474" s="185"/>
      <c r="P474" s="181">
        <v>9158399.0700000003</v>
      </c>
      <c r="Q474" s="181"/>
      <c r="R474" s="181"/>
      <c r="S474" s="181"/>
      <c r="T474" s="181"/>
      <c r="U474" s="181"/>
      <c r="V474" s="186">
        <v>1268289.6000000001</v>
      </c>
      <c r="W474" s="187">
        <v>137375.99</v>
      </c>
      <c r="X474" s="184"/>
      <c r="Y474" s="184"/>
      <c r="Z474" s="184"/>
      <c r="AA474" s="184"/>
      <c r="AB474" s="187">
        <f t="shared" si="212"/>
        <v>10564064.66</v>
      </c>
      <c r="AC474" s="188"/>
      <c r="AD474" s="188">
        <v>2024</v>
      </c>
      <c r="AE474" s="188">
        <v>2024</v>
      </c>
      <c r="AF474" s="25"/>
      <c r="AG474" s="91"/>
    </row>
    <row r="475" spans="1:33" s="26" customFormat="1" ht="24" customHeight="1">
      <c r="A475" s="112">
        <f t="shared" si="211"/>
        <v>58</v>
      </c>
      <c r="B475" s="194" t="s">
        <v>201</v>
      </c>
      <c r="C475" s="180">
        <f t="shared" si="210"/>
        <v>18012612.800000001</v>
      </c>
      <c r="D475" s="184"/>
      <c r="E475" s="184"/>
      <c r="F475" s="184"/>
      <c r="G475" s="182"/>
      <c r="H475" s="184"/>
      <c r="I475" s="183"/>
      <c r="J475" s="872"/>
      <c r="K475" s="181"/>
      <c r="L475" s="182"/>
      <c r="M475" s="182"/>
      <c r="N475" s="182"/>
      <c r="O475" s="182"/>
      <c r="P475" s="182">
        <v>11440762.130000001</v>
      </c>
      <c r="Q475" s="182">
        <v>2815727.96</v>
      </c>
      <c r="R475" s="184"/>
      <c r="S475" s="181">
        <v>2107779.67</v>
      </c>
      <c r="T475" s="181"/>
      <c r="U475" s="181"/>
      <c r="V475" s="186">
        <v>1402878.99</v>
      </c>
      <c r="W475" s="187">
        <v>245464.05</v>
      </c>
      <c r="X475" s="184"/>
      <c r="Y475" s="184"/>
      <c r="Z475" s="184"/>
      <c r="AA475" s="184"/>
      <c r="AB475" s="187">
        <f t="shared" si="212"/>
        <v>18012612.800000001</v>
      </c>
      <c r="AC475" s="188"/>
      <c r="AD475" s="188">
        <v>2024</v>
      </c>
      <c r="AE475" s="188">
        <v>2025</v>
      </c>
      <c r="AF475" s="25"/>
      <c r="AG475" s="91"/>
    </row>
    <row r="476" spans="1:33" s="26" customFormat="1" ht="24" customHeight="1">
      <c r="A476" s="112">
        <f t="shared" si="211"/>
        <v>59</v>
      </c>
      <c r="B476" s="194" t="s">
        <v>541</v>
      </c>
      <c r="C476" s="180">
        <f t="shared" si="210"/>
        <v>24385922.030000001</v>
      </c>
      <c r="D476" s="184"/>
      <c r="E476" s="184"/>
      <c r="F476" s="184"/>
      <c r="G476" s="182"/>
      <c r="H476" s="184"/>
      <c r="I476" s="183"/>
      <c r="J476" s="872"/>
      <c r="K476" s="181"/>
      <c r="L476" s="182"/>
      <c r="M476" s="182"/>
      <c r="N476" s="182"/>
      <c r="O476" s="182"/>
      <c r="P476" s="182">
        <v>16102749.66</v>
      </c>
      <c r="Q476" s="182"/>
      <c r="R476" s="187">
        <v>6739265.2000000002</v>
      </c>
      <c r="S476" s="181">
        <v>0</v>
      </c>
      <c r="T476" s="181"/>
      <c r="U476" s="181"/>
      <c r="V476" s="186">
        <v>1201276.95</v>
      </c>
      <c r="W476" s="187">
        <v>342630.22</v>
      </c>
      <c r="X476" s="184"/>
      <c r="Y476" s="184"/>
      <c r="Z476" s="184"/>
      <c r="AA476" s="184"/>
      <c r="AB476" s="187">
        <f>C476</f>
        <v>24385922.030000001</v>
      </c>
      <c r="AC476" s="188"/>
      <c r="AD476" s="188">
        <v>2024</v>
      </c>
      <c r="AE476" s="188">
        <v>2025</v>
      </c>
      <c r="AF476" s="25"/>
      <c r="AG476" s="91"/>
    </row>
    <row r="477" spans="1:33" s="26" customFormat="1" ht="24" customHeight="1">
      <c r="A477" s="112">
        <f t="shared" si="211"/>
        <v>60</v>
      </c>
      <c r="B477" s="194" t="s">
        <v>202</v>
      </c>
      <c r="C477" s="180">
        <f t="shared" si="210"/>
        <v>12279062.6</v>
      </c>
      <c r="D477" s="184"/>
      <c r="E477" s="184"/>
      <c r="F477" s="184"/>
      <c r="G477" s="182"/>
      <c r="H477" s="184"/>
      <c r="I477" s="183"/>
      <c r="J477" s="872"/>
      <c r="K477" s="181"/>
      <c r="L477" s="182"/>
      <c r="M477" s="182"/>
      <c r="N477" s="182"/>
      <c r="O477" s="182"/>
      <c r="P477" s="182">
        <v>11501657.800000001</v>
      </c>
      <c r="Q477" s="182"/>
      <c r="R477" s="184"/>
      <c r="S477" s="184"/>
      <c r="T477" s="184"/>
      <c r="U477" s="184"/>
      <c r="V477" s="186">
        <v>604879.93000000005</v>
      </c>
      <c r="W477" s="187">
        <v>172524.87</v>
      </c>
      <c r="X477" s="184"/>
      <c r="Y477" s="184"/>
      <c r="Z477" s="184"/>
      <c r="AA477" s="184"/>
      <c r="AB477" s="187">
        <f t="shared" si="212"/>
        <v>12279062.6</v>
      </c>
      <c r="AC477" s="188"/>
      <c r="AD477" s="188">
        <v>2024</v>
      </c>
      <c r="AE477" s="188">
        <v>2024</v>
      </c>
      <c r="AF477" s="25"/>
      <c r="AG477" s="91"/>
    </row>
    <row r="478" spans="1:33" s="26" customFormat="1" ht="24" customHeight="1">
      <c r="A478" s="112">
        <f t="shared" si="211"/>
        <v>61</v>
      </c>
      <c r="B478" s="194" t="s">
        <v>529</v>
      </c>
      <c r="C478" s="180">
        <f t="shared" si="210"/>
        <v>19070374.780000001</v>
      </c>
      <c r="D478" s="184"/>
      <c r="E478" s="184"/>
      <c r="F478" s="184"/>
      <c r="G478" s="182"/>
      <c r="H478" s="184"/>
      <c r="I478" s="183"/>
      <c r="J478" s="872"/>
      <c r="K478" s="181"/>
      <c r="L478" s="182"/>
      <c r="M478" s="182"/>
      <c r="N478" s="182"/>
      <c r="O478" s="182"/>
      <c r="P478" s="196">
        <v>17863002.41</v>
      </c>
      <c r="Q478" s="182"/>
      <c r="R478" s="184"/>
      <c r="S478" s="184"/>
      <c r="T478" s="184"/>
      <c r="U478" s="184"/>
      <c r="V478" s="186">
        <v>939427.33</v>
      </c>
      <c r="W478" s="187">
        <v>267945.03999999998</v>
      </c>
      <c r="X478" s="184"/>
      <c r="Y478" s="184"/>
      <c r="Z478" s="184"/>
      <c r="AA478" s="184"/>
      <c r="AB478" s="187">
        <f t="shared" si="212"/>
        <v>19070374.780000001</v>
      </c>
      <c r="AC478" s="188"/>
      <c r="AD478" s="188">
        <v>2024</v>
      </c>
      <c r="AE478" s="188">
        <v>2025</v>
      </c>
      <c r="AF478" s="25"/>
      <c r="AG478" s="91"/>
    </row>
    <row r="479" spans="1:33" s="26" customFormat="1" ht="24" customHeight="1">
      <c r="A479" s="648">
        <f t="shared" si="211"/>
        <v>62</v>
      </c>
      <c r="B479" s="665" t="s">
        <v>758</v>
      </c>
      <c r="C479" s="649">
        <f t="shared" si="210"/>
        <v>30218632.350000001</v>
      </c>
      <c r="D479" s="660"/>
      <c r="E479" s="660"/>
      <c r="F479" s="660"/>
      <c r="G479" s="661"/>
      <c r="H479" s="660"/>
      <c r="I479" s="662"/>
      <c r="J479" s="753"/>
      <c r="K479" s="659"/>
      <c r="L479" s="661"/>
      <c r="M479" s="661"/>
      <c r="N479" s="661"/>
      <c r="O479" s="661"/>
      <c r="P479" s="661">
        <v>14239901.529999999</v>
      </c>
      <c r="Q479" s="661"/>
      <c r="R479" s="654">
        <v>13472341.1</v>
      </c>
      <c r="S479" s="660"/>
      <c r="T479" s="660"/>
      <c r="U479" s="660"/>
      <c r="V479" s="664">
        <v>2270868.39</v>
      </c>
      <c r="W479" s="654">
        <v>235521.33</v>
      </c>
      <c r="X479" s="660"/>
      <c r="Y479" s="654">
        <f>C479*94.45%</f>
        <v>28541498.25</v>
      </c>
      <c r="Z479" s="654">
        <f>C479*5.55%</f>
        <v>1677134.1</v>
      </c>
      <c r="AA479" s="660"/>
      <c r="AB479" s="654"/>
      <c r="AC479" s="648"/>
      <c r="AD479" s="648">
        <v>2024</v>
      </c>
      <c r="AE479" s="648">
        <v>2024</v>
      </c>
      <c r="AF479" s="25"/>
      <c r="AG479" s="262"/>
    </row>
    <row r="480" spans="1:33" s="26" customFormat="1" ht="24" customHeight="1">
      <c r="A480" s="319">
        <f t="shared" si="211"/>
        <v>63</v>
      </c>
      <c r="B480" s="435" t="s">
        <v>683</v>
      </c>
      <c r="C480" s="418">
        <f t="shared" si="210"/>
        <v>27307808.600000001</v>
      </c>
      <c r="D480" s="420"/>
      <c r="E480" s="420"/>
      <c r="F480" s="420"/>
      <c r="G480" s="421"/>
      <c r="H480" s="420"/>
      <c r="I480" s="429"/>
      <c r="J480" s="734"/>
      <c r="K480" s="428"/>
      <c r="L480" s="421"/>
      <c r="M480" s="421"/>
      <c r="N480" s="421"/>
      <c r="O480" s="421"/>
      <c r="P480" s="421">
        <v>13103415.17</v>
      </c>
      <c r="Q480" s="421"/>
      <c r="R480" s="425">
        <v>11913049.529999999</v>
      </c>
      <c r="S480" s="420"/>
      <c r="T480" s="420"/>
      <c r="U480" s="420"/>
      <c r="V480" s="417">
        <v>2083081.86</v>
      </c>
      <c r="W480" s="425">
        <v>208262.04</v>
      </c>
      <c r="X480" s="420"/>
      <c r="Y480" s="425">
        <f>C480*94.45%</f>
        <v>25792225.219999999</v>
      </c>
      <c r="Z480" s="425">
        <f>C480*5.55%</f>
        <v>1515583.38</v>
      </c>
      <c r="AA480" s="420"/>
      <c r="AB480" s="425"/>
      <c r="AC480" s="426"/>
      <c r="AD480" s="319">
        <v>2024</v>
      </c>
      <c r="AE480" s="319">
        <v>2024</v>
      </c>
      <c r="AF480" s="25"/>
      <c r="AG480" s="262"/>
    </row>
    <row r="481" spans="1:33" s="26" customFormat="1" ht="24" customHeight="1">
      <c r="A481" s="648">
        <f t="shared" si="211"/>
        <v>64</v>
      </c>
      <c r="B481" s="665" t="s">
        <v>684</v>
      </c>
      <c r="C481" s="649">
        <f t="shared" si="210"/>
        <v>28471968.199999999</v>
      </c>
      <c r="D481" s="660"/>
      <c r="E481" s="660"/>
      <c r="F481" s="660"/>
      <c r="G481" s="661"/>
      <c r="H481" s="660"/>
      <c r="I481" s="662"/>
      <c r="J481" s="753"/>
      <c r="K481" s="659"/>
      <c r="L481" s="661"/>
      <c r="M481" s="661"/>
      <c r="N481" s="661"/>
      <c r="O481" s="661"/>
      <c r="P481" s="661">
        <v>12940771.439999999</v>
      </c>
      <c r="Q481" s="661"/>
      <c r="R481" s="654">
        <v>13078553.25</v>
      </c>
      <c r="S481" s="660"/>
      <c r="T481" s="660"/>
      <c r="U481" s="660"/>
      <c r="V481" s="664">
        <v>2224006.3199999998</v>
      </c>
      <c r="W481" s="654">
        <v>228637.19</v>
      </c>
      <c r="X481" s="660"/>
      <c r="Y481" s="654">
        <f>C481*94.45%</f>
        <v>26891773.960000001</v>
      </c>
      <c r="Z481" s="654">
        <f>C481*5.55%</f>
        <v>1580194.24</v>
      </c>
      <c r="AA481" s="660"/>
      <c r="AB481" s="654"/>
      <c r="AC481" s="648"/>
      <c r="AD481" s="648">
        <v>2024</v>
      </c>
      <c r="AE481" s="648">
        <v>2024</v>
      </c>
      <c r="AF481" s="25"/>
      <c r="AG481" s="262"/>
    </row>
    <row r="482" spans="1:33" s="26" customFormat="1" ht="24" customHeight="1">
      <c r="A482" s="648">
        <f t="shared" si="211"/>
        <v>65</v>
      </c>
      <c r="B482" s="665" t="s">
        <v>685</v>
      </c>
      <c r="C482" s="649">
        <f t="shared" si="210"/>
        <v>15970348.369999999</v>
      </c>
      <c r="D482" s="660"/>
      <c r="E482" s="660"/>
      <c r="F482" s="660"/>
      <c r="G482" s="661"/>
      <c r="H482" s="660"/>
      <c r="I482" s="662"/>
      <c r="J482" s="753"/>
      <c r="K482" s="659"/>
      <c r="L482" s="661"/>
      <c r="M482" s="661"/>
      <c r="N482" s="661"/>
      <c r="O482" s="661"/>
      <c r="P482" s="661">
        <v>15038431.359999999</v>
      </c>
      <c r="Q482" s="661"/>
      <c r="R482" s="660"/>
      <c r="S482" s="660"/>
      <c r="T482" s="660"/>
      <c r="U482" s="660"/>
      <c r="V482" s="664">
        <v>805180.83</v>
      </c>
      <c r="W482" s="654">
        <v>126736.18</v>
      </c>
      <c r="X482" s="660"/>
      <c r="Y482" s="654">
        <f>C482*94.45%</f>
        <v>15083994.039999999</v>
      </c>
      <c r="Z482" s="654">
        <f>C482*5.55%</f>
        <v>886354.33</v>
      </c>
      <c r="AA482" s="660"/>
      <c r="AB482" s="654"/>
      <c r="AC482" s="648"/>
      <c r="AD482" s="648">
        <v>2024</v>
      </c>
      <c r="AE482" s="648">
        <v>2024</v>
      </c>
      <c r="AF482" s="25"/>
      <c r="AG482" s="262"/>
    </row>
    <row r="483" spans="1:33" s="26" customFormat="1" ht="24" customHeight="1">
      <c r="A483" s="112">
        <f t="shared" si="211"/>
        <v>66</v>
      </c>
      <c r="B483" s="194" t="s">
        <v>944</v>
      </c>
      <c r="C483" s="180">
        <f t="shared" si="210"/>
        <v>9981851.3399999999</v>
      </c>
      <c r="D483" s="181">
        <v>812025.81</v>
      </c>
      <c r="E483" s="184"/>
      <c r="F483" s="184"/>
      <c r="G483" s="182">
        <v>568347.88</v>
      </c>
      <c r="H483" s="184">
        <v>1224681.3899999999</v>
      </c>
      <c r="I483" s="183">
        <v>4148948.6</v>
      </c>
      <c r="J483" s="872">
        <v>1</v>
      </c>
      <c r="K483" s="181">
        <v>2730384.24</v>
      </c>
      <c r="L483" s="182"/>
      <c r="M483" s="182"/>
      <c r="N483" s="182"/>
      <c r="O483" s="182"/>
      <c r="P483" s="182"/>
      <c r="Q483" s="182"/>
      <c r="R483" s="184"/>
      <c r="S483" s="184"/>
      <c r="T483" s="184"/>
      <c r="U483" s="184"/>
      <c r="V483" s="186">
        <v>355197.6</v>
      </c>
      <c r="W483" s="187">
        <v>142265.82</v>
      </c>
      <c r="X483" s="184"/>
      <c r="Y483" s="184"/>
      <c r="Z483" s="184"/>
      <c r="AA483" s="184"/>
      <c r="AB483" s="187">
        <f t="shared" si="212"/>
        <v>9981851.3399999999</v>
      </c>
      <c r="AC483" s="188"/>
      <c r="AD483" s="188">
        <v>2024</v>
      </c>
      <c r="AE483" s="188">
        <v>2024</v>
      </c>
      <c r="AF483" s="25"/>
      <c r="AG483" s="91"/>
    </row>
    <row r="484" spans="1:33" s="148" customFormat="1" ht="24" customHeight="1">
      <c r="A484" s="883" t="s">
        <v>180</v>
      </c>
      <c r="B484" s="883"/>
      <c r="C484" s="139">
        <f>SUM(C467:C483)</f>
        <v>296526561.11000001</v>
      </c>
      <c r="D484" s="16">
        <f t="shared" ref="D484:AC484" si="213">SUM(D467:D483)</f>
        <v>2986543.97</v>
      </c>
      <c r="E484" s="16">
        <f t="shared" si="213"/>
        <v>0</v>
      </c>
      <c r="F484" s="16">
        <f t="shared" si="213"/>
        <v>0</v>
      </c>
      <c r="G484" s="16">
        <f t="shared" si="213"/>
        <v>2766827.48</v>
      </c>
      <c r="H484" s="16">
        <f t="shared" si="213"/>
        <v>5186611.6100000003</v>
      </c>
      <c r="I484" s="16">
        <f t="shared" si="213"/>
        <v>7361623.3499999996</v>
      </c>
      <c r="J484" s="396">
        <f t="shared" si="213"/>
        <v>2</v>
      </c>
      <c r="K484" s="16">
        <f t="shared" si="213"/>
        <v>5194572.6500000004</v>
      </c>
      <c r="L484" s="16">
        <f t="shared" si="213"/>
        <v>2544777.5499999998</v>
      </c>
      <c r="M484" s="16">
        <f t="shared" si="213"/>
        <v>0</v>
      </c>
      <c r="N484" s="16">
        <f t="shared" si="213"/>
        <v>0</v>
      </c>
      <c r="O484" s="16">
        <f t="shared" si="213"/>
        <v>0</v>
      </c>
      <c r="P484" s="16">
        <f t="shared" si="213"/>
        <v>176686506.41999999</v>
      </c>
      <c r="Q484" s="16">
        <f t="shared" si="213"/>
        <v>6475813.1900000004</v>
      </c>
      <c r="R484" s="16">
        <f t="shared" si="213"/>
        <v>59352606.600000001</v>
      </c>
      <c r="S484" s="16">
        <f t="shared" si="213"/>
        <v>4847622.93</v>
      </c>
      <c r="T484" s="141"/>
      <c r="U484" s="141"/>
      <c r="V484" s="16">
        <f t="shared" si="213"/>
        <v>19629642.98</v>
      </c>
      <c r="W484" s="16">
        <f t="shared" si="213"/>
        <v>3493412.38</v>
      </c>
      <c r="X484" s="16">
        <f t="shared" si="213"/>
        <v>0</v>
      </c>
      <c r="Y484" s="16">
        <f t="shared" si="213"/>
        <v>96309491.469999999</v>
      </c>
      <c r="Z484" s="16">
        <f t="shared" si="213"/>
        <v>5659266.0499999998</v>
      </c>
      <c r="AA484" s="16">
        <f t="shared" si="213"/>
        <v>0</v>
      </c>
      <c r="AB484" s="16">
        <f t="shared" si="213"/>
        <v>194557803.59</v>
      </c>
      <c r="AC484" s="16">
        <f t="shared" si="213"/>
        <v>0</v>
      </c>
      <c r="AD484" s="798" t="s">
        <v>29</v>
      </c>
      <c r="AE484" s="798" t="s">
        <v>29</v>
      </c>
      <c r="AF484" s="146"/>
      <c r="AG484" s="147"/>
    </row>
    <row r="485" spans="1:33" ht="24" customHeight="1">
      <c r="A485" s="888" t="s">
        <v>355</v>
      </c>
      <c r="B485" s="888"/>
      <c r="C485" s="888"/>
      <c r="D485" s="888"/>
      <c r="E485" s="888"/>
      <c r="F485" s="888"/>
      <c r="G485" s="888"/>
      <c r="H485" s="888"/>
      <c r="I485" s="888"/>
      <c r="J485" s="888"/>
      <c r="K485" s="888"/>
      <c r="L485" s="888"/>
      <c r="M485" s="888"/>
      <c r="N485" s="888"/>
      <c r="O485" s="888"/>
      <c r="P485" s="888"/>
      <c r="Q485" s="888"/>
      <c r="R485" s="888"/>
      <c r="S485" s="888"/>
      <c r="T485" s="889"/>
      <c r="U485" s="889"/>
      <c r="V485" s="888"/>
      <c r="W485" s="888"/>
      <c r="X485" s="888"/>
      <c r="Y485" s="888"/>
      <c r="Z485" s="888"/>
      <c r="AA485" s="888"/>
      <c r="AB485" s="888"/>
      <c r="AC485" s="888"/>
      <c r="AD485" s="888"/>
      <c r="AE485" s="888"/>
      <c r="AF485" s="808"/>
      <c r="AG485" s="806"/>
    </row>
    <row r="486" spans="1:33" s="26" customFormat="1" ht="24" customHeight="1">
      <c r="A486" s="18">
        <f>A483+1</f>
        <v>67</v>
      </c>
      <c r="B486" s="61" t="s">
        <v>203</v>
      </c>
      <c r="C486" s="4">
        <f>D486+F486+G486+H486+I486+K486+L486+M486+O486+P486+Q486+R486+S486+W486+V486+X486</f>
        <v>22381728.879999999</v>
      </c>
      <c r="D486" s="170">
        <v>3270584.91</v>
      </c>
      <c r="E486" s="9"/>
      <c r="F486" s="9"/>
      <c r="G486" s="12">
        <f>ROUND(3321.2*650.2,2)</f>
        <v>2159444.2400000002</v>
      </c>
      <c r="H486" s="13">
        <f>ROUND(3321.2*644.55,2)</f>
        <v>2140679.46</v>
      </c>
      <c r="I486" s="13">
        <f>ROUND(3321.2*3349.66,2)</f>
        <v>11124890.789999999</v>
      </c>
      <c r="J486" s="18"/>
      <c r="K486" s="7"/>
      <c r="L486" s="12">
        <f>ROUND(3321.2*616.25,2)</f>
        <v>2046689.5</v>
      </c>
      <c r="M486" s="22"/>
      <c r="N486" s="22"/>
      <c r="O486" s="22"/>
      <c r="P486" s="9"/>
      <c r="Q486" s="9"/>
      <c r="R486" s="21"/>
      <c r="S486" s="13"/>
      <c r="T486" s="110"/>
      <c r="U486" s="110"/>
      <c r="V486" s="3">
        <f>1164776.4+163529.25</f>
        <v>1328305.6499999999</v>
      </c>
      <c r="W486" s="86">
        <f t="shared" ref="W486:W556" si="214">ROUND((D486+F486+G486+H486+I486+L486+M486+O486+P486+Q486+R486+S486)*1.5%,2)</f>
        <v>311134.33</v>
      </c>
      <c r="X486" s="21"/>
      <c r="Y486" s="21"/>
      <c r="Z486" s="21"/>
      <c r="AA486" s="21"/>
      <c r="AB486" s="24">
        <f>C486</f>
        <v>22381728.879999999</v>
      </c>
      <c r="AC486" s="18"/>
      <c r="AD486" s="18">
        <v>2024</v>
      </c>
      <c r="AE486" s="18">
        <v>2024</v>
      </c>
      <c r="AF486" s="25"/>
      <c r="AG486" s="91"/>
    </row>
    <row r="487" spans="1:33" s="26" customFormat="1" ht="24" customHeight="1">
      <c r="A487" s="18">
        <f>A486+1</f>
        <v>68</v>
      </c>
      <c r="B487" s="61" t="s">
        <v>629</v>
      </c>
      <c r="C487" s="4">
        <f>D487+F487+G487+H487+I487+K487+L487+M487+O487+P487+Q487+R487+S487+W487+V487+X487</f>
        <v>20016568.039999999</v>
      </c>
      <c r="D487" s="9"/>
      <c r="E487" s="725"/>
      <c r="F487" s="9"/>
      <c r="G487" s="12"/>
      <c r="H487" s="13"/>
      <c r="I487" s="13"/>
      <c r="J487" s="18"/>
      <c r="K487" s="137"/>
      <c r="L487" s="12"/>
      <c r="M487" s="22"/>
      <c r="N487" s="22"/>
      <c r="O487" s="22"/>
      <c r="P487" s="9">
        <v>18794899.57</v>
      </c>
      <c r="Q487" s="9"/>
      <c r="R487" s="21"/>
      <c r="S487" s="13"/>
      <c r="T487" s="110"/>
      <c r="U487" s="110"/>
      <c r="V487" s="3">
        <v>939744.98</v>
      </c>
      <c r="W487" s="86">
        <v>281923.49</v>
      </c>
      <c r="X487" s="21"/>
      <c r="Y487" s="21"/>
      <c r="Z487" s="21"/>
      <c r="AA487" s="21"/>
      <c r="AB487" s="24">
        <f>C487</f>
        <v>20016568.039999999</v>
      </c>
      <c r="AC487" s="18"/>
      <c r="AD487" s="18">
        <v>2024</v>
      </c>
      <c r="AE487" s="18">
        <v>2025</v>
      </c>
      <c r="AF487" s="25"/>
      <c r="AG487" s="91"/>
    </row>
    <row r="488" spans="1:33" s="26" customFormat="1" ht="24" customHeight="1">
      <c r="A488" s="18">
        <f t="shared" ref="A488:A553" si="215">A487+1</f>
        <v>69</v>
      </c>
      <c r="B488" s="61" t="s">
        <v>204</v>
      </c>
      <c r="C488" s="4">
        <f t="shared" ref="C488:C652" si="216">D488+F488+G488+H488+I488+K488+L488+M488+O488+P488+Q488+R488+S488+W488+V488+X488</f>
        <v>41547980.619999997</v>
      </c>
      <c r="D488" s="9">
        <f>ROUND(5696.1*660.21,2)</f>
        <v>3760622.18</v>
      </c>
      <c r="E488" s="87"/>
      <c r="F488" s="21"/>
      <c r="G488" s="12">
        <f>ROUND(5696.1*620.83,2)</f>
        <v>3536309.76</v>
      </c>
      <c r="H488" s="9">
        <f>ROUND(5696.1*665.62,2)</f>
        <v>3791438.08</v>
      </c>
      <c r="I488" s="13">
        <f>ROUND(5696.1*3201.73,2)</f>
        <v>18237374.25</v>
      </c>
      <c r="J488" s="18"/>
      <c r="K488" s="7"/>
      <c r="L488" s="12">
        <f>ROUND(5696.1*616.25,2)</f>
        <v>3510221.63</v>
      </c>
      <c r="M488" s="22"/>
      <c r="N488" s="22"/>
      <c r="O488" s="22"/>
      <c r="P488" s="21"/>
      <c r="Q488" s="9"/>
      <c r="R488" s="21"/>
      <c r="S488" s="9">
        <f>ROUND(5696.1*1135.41,2)</f>
        <v>6467408.9000000004</v>
      </c>
      <c r="T488" s="108"/>
      <c r="U488" s="108"/>
      <c r="V488" s="3">
        <v>1655055.2</v>
      </c>
      <c r="W488" s="86">
        <v>589550.62</v>
      </c>
      <c r="X488" s="21"/>
      <c r="Y488" s="21"/>
      <c r="Z488" s="21"/>
      <c r="AA488" s="21"/>
      <c r="AB488" s="24">
        <f t="shared" ref="AB488:AB649" si="217">C488</f>
        <v>41547980.619999997</v>
      </c>
      <c r="AC488" s="18"/>
      <c r="AD488" s="18">
        <v>2024</v>
      </c>
      <c r="AE488" s="18">
        <v>2024</v>
      </c>
      <c r="AF488" s="25"/>
      <c r="AG488" s="91"/>
    </row>
    <row r="489" spans="1:33" s="26" customFormat="1" ht="24" customHeight="1">
      <c r="A489" s="18">
        <f t="shared" si="215"/>
        <v>70</v>
      </c>
      <c r="B489" s="61" t="s">
        <v>58</v>
      </c>
      <c r="C489" s="4">
        <f t="shared" ref="C489:C492" si="218">D489+F489+G489+H489+I489+K489+L489+M489+O489+P489+Q489+R489+S489+W489+V489+X489</f>
        <v>1861001.14</v>
      </c>
      <c r="D489" s="9"/>
      <c r="E489" s="87">
        <v>1</v>
      </c>
      <c r="F489" s="100">
        <v>1612809</v>
      </c>
      <c r="G489" s="12"/>
      <c r="H489" s="9"/>
      <c r="I489" s="13"/>
      <c r="J489" s="18"/>
      <c r="K489" s="102"/>
      <c r="L489" s="12"/>
      <c r="M489" s="22"/>
      <c r="N489" s="22"/>
      <c r="O489" s="22"/>
      <c r="P489" s="21"/>
      <c r="Q489" s="9"/>
      <c r="R489" s="21"/>
      <c r="S489" s="12"/>
      <c r="T489" s="109"/>
      <c r="U489" s="109"/>
      <c r="V489" s="101">
        <v>224000</v>
      </c>
      <c r="W489" s="86">
        <v>24192.14</v>
      </c>
      <c r="X489" s="21"/>
      <c r="Y489" s="21"/>
      <c r="Z489" s="24"/>
      <c r="AA489" s="21"/>
      <c r="AB489" s="24">
        <f t="shared" si="217"/>
        <v>1861001.14</v>
      </c>
      <c r="AC489" s="18"/>
      <c r="AD489" s="18">
        <v>2024</v>
      </c>
      <c r="AE489" s="18">
        <v>2025</v>
      </c>
      <c r="AF489" s="25"/>
      <c r="AG489" s="91"/>
    </row>
    <row r="490" spans="1:33" s="26" customFormat="1" ht="24" customHeight="1">
      <c r="A490" s="18">
        <f t="shared" si="215"/>
        <v>71</v>
      </c>
      <c r="B490" s="61" t="s">
        <v>59</v>
      </c>
      <c r="C490" s="4">
        <f t="shared" si="218"/>
        <v>1861001.14</v>
      </c>
      <c r="D490" s="9"/>
      <c r="E490" s="87">
        <v>1</v>
      </c>
      <c r="F490" s="100">
        <v>1612809</v>
      </c>
      <c r="G490" s="12"/>
      <c r="H490" s="9"/>
      <c r="I490" s="13"/>
      <c r="J490" s="555"/>
      <c r="K490" s="102"/>
      <c r="L490" s="12"/>
      <c r="M490" s="22"/>
      <c r="N490" s="22"/>
      <c r="O490" s="22"/>
      <c r="P490" s="21"/>
      <c r="Q490" s="9"/>
      <c r="R490" s="21"/>
      <c r="S490" s="12"/>
      <c r="T490" s="109"/>
      <c r="U490" s="109"/>
      <c r="V490" s="101">
        <v>224000</v>
      </c>
      <c r="W490" s="86">
        <v>24192.14</v>
      </c>
      <c r="X490" s="21"/>
      <c r="Y490" s="21"/>
      <c r="Z490" s="24"/>
      <c r="AA490" s="21"/>
      <c r="AB490" s="24">
        <f t="shared" si="217"/>
        <v>1861001.14</v>
      </c>
      <c r="AC490" s="18"/>
      <c r="AD490" s="18">
        <v>2024</v>
      </c>
      <c r="AE490" s="18">
        <v>2025</v>
      </c>
      <c r="AF490" s="25"/>
      <c r="AG490" s="91"/>
    </row>
    <row r="491" spans="1:33" s="26" customFormat="1" ht="24" customHeight="1">
      <c r="A491" s="18">
        <f t="shared" si="215"/>
        <v>72</v>
      </c>
      <c r="B491" s="61" t="s">
        <v>1241</v>
      </c>
      <c r="C491" s="4">
        <f t="shared" si="218"/>
        <v>23027099.699999999</v>
      </c>
      <c r="D491" s="9"/>
      <c r="E491" s="87"/>
      <c r="F491" s="100"/>
      <c r="G491" s="12"/>
      <c r="H491" s="9"/>
      <c r="I491" s="13"/>
      <c r="J491" s="555"/>
      <c r="K491" s="102"/>
      <c r="L491" s="12"/>
      <c r="M491" s="22"/>
      <c r="N491" s="22"/>
      <c r="O491" s="22"/>
      <c r="P491" s="24">
        <v>21621689.859999999</v>
      </c>
      <c r="Q491" s="9"/>
      <c r="R491" s="21"/>
      <c r="S491" s="12"/>
      <c r="T491" s="109"/>
      <c r="U491" s="109"/>
      <c r="V491" s="101">
        <v>1081084.49</v>
      </c>
      <c r="W491" s="86">
        <v>324325.34999999998</v>
      </c>
      <c r="X491" s="21"/>
      <c r="Y491" s="21"/>
      <c r="Z491" s="24"/>
      <c r="AA491" s="21"/>
      <c r="AB491" s="24">
        <f>C491</f>
        <v>23027099.699999999</v>
      </c>
      <c r="AC491" s="18"/>
      <c r="AD491" s="18">
        <v>2024</v>
      </c>
      <c r="AE491" s="18">
        <v>2025</v>
      </c>
      <c r="AF491" s="25"/>
      <c r="AG491" s="91"/>
    </row>
    <row r="492" spans="1:33" s="26" customFormat="1" ht="24" customHeight="1">
      <c r="A492" s="319">
        <f t="shared" si="215"/>
        <v>73</v>
      </c>
      <c r="B492" s="353" t="s">
        <v>1242</v>
      </c>
      <c r="C492" s="321">
        <f t="shared" si="218"/>
        <v>1814959.93</v>
      </c>
      <c r="D492" s="322"/>
      <c r="E492" s="830">
        <v>1</v>
      </c>
      <c r="F492" s="349">
        <v>1572488.75</v>
      </c>
      <c r="G492" s="323"/>
      <c r="H492" s="322"/>
      <c r="I492" s="348"/>
      <c r="J492" s="539"/>
      <c r="K492" s="102"/>
      <c r="L492" s="323"/>
      <c r="M492" s="325"/>
      <c r="N492" s="325"/>
      <c r="O492" s="325"/>
      <c r="P492" s="339"/>
      <c r="Q492" s="322"/>
      <c r="R492" s="330"/>
      <c r="S492" s="323"/>
      <c r="T492" s="323"/>
      <c r="U492" s="323"/>
      <c r="V492" s="355">
        <v>218400</v>
      </c>
      <c r="W492" s="346">
        <v>24071.18</v>
      </c>
      <c r="X492" s="330"/>
      <c r="Y492" s="330"/>
      <c r="Z492" s="339">
        <f>C492</f>
        <v>1814959.93</v>
      </c>
      <c r="AA492" s="330"/>
      <c r="AB492" s="339"/>
      <c r="AC492" s="319"/>
      <c r="AD492" s="319">
        <v>2024</v>
      </c>
      <c r="AE492" s="319">
        <v>2025</v>
      </c>
      <c r="AF492" s="25"/>
      <c r="AG492" s="91"/>
    </row>
    <row r="493" spans="1:33" s="26" customFormat="1" ht="24" customHeight="1">
      <c r="A493" s="18">
        <f t="shared" si="215"/>
        <v>74</v>
      </c>
      <c r="B493" s="61" t="s">
        <v>1243</v>
      </c>
      <c r="C493" s="4">
        <f t="shared" si="216"/>
        <v>1121438.8</v>
      </c>
      <c r="D493" s="9"/>
      <c r="E493" s="87">
        <v>1</v>
      </c>
      <c r="F493" s="174">
        <v>967685.14</v>
      </c>
      <c r="G493" s="12"/>
      <c r="H493" s="9"/>
      <c r="I493" s="13"/>
      <c r="J493" s="555"/>
      <c r="K493" s="102"/>
      <c r="L493" s="12"/>
      <c r="M493" s="22"/>
      <c r="N493" s="22"/>
      <c r="O493" s="22"/>
      <c r="P493" s="21"/>
      <c r="Q493" s="9"/>
      <c r="R493" s="21"/>
      <c r="S493" s="12"/>
      <c r="T493" s="109"/>
      <c r="U493" s="109"/>
      <c r="V493" s="174">
        <v>134399.96</v>
      </c>
      <c r="W493" s="174">
        <v>19353.7</v>
      </c>
      <c r="X493" s="21"/>
      <c r="Y493" s="21"/>
      <c r="Z493" s="24">
        <f>C493</f>
        <v>1121438.8</v>
      </c>
      <c r="AA493" s="21"/>
      <c r="AB493" s="24"/>
      <c r="AC493" s="18"/>
      <c r="AD493" s="18">
        <v>2024</v>
      </c>
      <c r="AE493" s="18">
        <v>2024</v>
      </c>
      <c r="AF493" s="25"/>
      <c r="AG493" s="91"/>
    </row>
    <row r="494" spans="1:33" s="26" customFormat="1" ht="24" customHeight="1">
      <c r="A494" s="319">
        <f t="shared" si="215"/>
        <v>75</v>
      </c>
      <c r="B494" s="352" t="s">
        <v>943</v>
      </c>
      <c r="C494" s="321">
        <f t="shared" si="216"/>
        <v>1343761.98</v>
      </c>
      <c r="D494" s="322"/>
      <c r="E494" s="867"/>
      <c r="F494" s="322"/>
      <c r="G494" s="323"/>
      <c r="H494" s="348"/>
      <c r="I494" s="348"/>
      <c r="J494" s="400"/>
      <c r="K494" s="322"/>
      <c r="L494" s="323"/>
      <c r="M494" s="323"/>
      <c r="N494" s="323"/>
      <c r="O494" s="323"/>
      <c r="P494" s="322"/>
      <c r="Q494" s="350"/>
      <c r="R494" s="322"/>
      <c r="S494" s="323">
        <v>1323903.43</v>
      </c>
      <c r="T494" s="323"/>
      <c r="U494" s="323"/>
      <c r="V494" s="331"/>
      <c r="W494" s="354">
        <v>19858.55</v>
      </c>
      <c r="X494" s="330"/>
      <c r="Y494" s="330"/>
      <c r="Z494" s="330"/>
      <c r="AA494" s="330"/>
      <c r="AB494" s="339">
        <f t="shared" ref="AB494" si="219">C494</f>
        <v>1343761.98</v>
      </c>
      <c r="AC494" s="319"/>
      <c r="AD494" s="351" t="s">
        <v>861</v>
      </c>
      <c r="AE494" s="319">
        <v>2025</v>
      </c>
      <c r="AF494" s="91"/>
      <c r="AG494" s="91"/>
    </row>
    <row r="495" spans="1:33" s="26" customFormat="1" ht="24" customHeight="1">
      <c r="A495" s="18">
        <f t="shared" si="215"/>
        <v>76</v>
      </c>
      <c r="B495" s="77" t="s">
        <v>511</v>
      </c>
      <c r="C495" s="4">
        <f t="shared" ref="C495:C504" si="220">D495+F495+G495+H495+I495+K495+L495+M495+O495+P495+Q495+R495+S495+W495+V495+X495</f>
        <v>1718401.95</v>
      </c>
      <c r="D495" s="9"/>
      <c r="E495" s="87">
        <v>1</v>
      </c>
      <c r="F495" s="174">
        <v>1491848.26</v>
      </c>
      <c r="G495" s="12"/>
      <c r="H495" s="9"/>
      <c r="I495" s="13"/>
      <c r="J495" s="862"/>
      <c r="K495" s="14"/>
      <c r="L495" s="12"/>
      <c r="M495" s="22"/>
      <c r="N495" s="22"/>
      <c r="O495" s="22"/>
      <c r="P495" s="21"/>
      <c r="Q495" s="9"/>
      <c r="R495" s="21"/>
      <c r="S495" s="12"/>
      <c r="T495" s="109"/>
      <c r="U495" s="109"/>
      <c r="V495" s="174">
        <v>207199.99</v>
      </c>
      <c r="W495" s="174">
        <v>19353.7</v>
      </c>
      <c r="X495" s="21"/>
      <c r="Y495" s="21"/>
      <c r="Z495" s="24">
        <f>C495</f>
        <v>1718401.95</v>
      </c>
      <c r="AA495" s="21"/>
      <c r="AB495" s="24"/>
      <c r="AC495" s="18"/>
      <c r="AD495" s="18">
        <v>2024</v>
      </c>
      <c r="AE495" s="18">
        <v>2024</v>
      </c>
      <c r="AF495" s="25"/>
      <c r="AG495" s="91"/>
    </row>
    <row r="496" spans="1:33" s="26" customFormat="1" ht="24" customHeight="1">
      <c r="A496" s="319">
        <f t="shared" si="215"/>
        <v>77</v>
      </c>
      <c r="B496" s="434" t="s">
        <v>483</v>
      </c>
      <c r="C496" s="418">
        <f t="shared" si="220"/>
        <v>5874947.7199999997</v>
      </c>
      <c r="D496" s="428"/>
      <c r="E496" s="563"/>
      <c r="F496" s="428"/>
      <c r="G496" s="421"/>
      <c r="H496" s="429"/>
      <c r="I496" s="429"/>
      <c r="J496" s="864">
        <v>2</v>
      </c>
      <c r="K496" s="428">
        <v>5399441.4800000004</v>
      </c>
      <c r="L496" s="421"/>
      <c r="M496" s="421"/>
      <c r="N496" s="421"/>
      <c r="O496" s="421"/>
      <c r="P496" s="428"/>
      <c r="Q496" s="443"/>
      <c r="R496" s="428"/>
      <c r="S496" s="421"/>
      <c r="T496" s="421"/>
      <c r="U496" s="421"/>
      <c r="V496" s="417">
        <v>462642.96</v>
      </c>
      <c r="W496" s="446">
        <v>12863.28</v>
      </c>
      <c r="X496" s="420"/>
      <c r="Y496" s="420"/>
      <c r="Z496" s="425">
        <f>C496</f>
        <v>5874947.7199999997</v>
      </c>
      <c r="AA496" s="420"/>
      <c r="AB496" s="425"/>
      <c r="AC496" s="426"/>
      <c r="AD496" s="351" t="s">
        <v>482</v>
      </c>
      <c r="AE496" s="319">
        <v>2024</v>
      </c>
      <c r="AF496" s="91"/>
      <c r="AG496" s="91"/>
    </row>
    <row r="497" spans="1:33" s="26" customFormat="1" ht="24" customHeight="1">
      <c r="A497" s="319">
        <f t="shared" si="215"/>
        <v>78</v>
      </c>
      <c r="B497" s="434" t="s">
        <v>484</v>
      </c>
      <c r="C497" s="418">
        <f t="shared" si="220"/>
        <v>3098794.33</v>
      </c>
      <c r="D497" s="428"/>
      <c r="E497" s="563"/>
      <c r="F497" s="428"/>
      <c r="G497" s="421"/>
      <c r="H497" s="429"/>
      <c r="I497" s="429"/>
      <c r="J497" s="864">
        <v>1</v>
      </c>
      <c r="K497" s="428">
        <v>2854609.57</v>
      </c>
      <c r="L497" s="421"/>
      <c r="M497" s="421"/>
      <c r="N497" s="421"/>
      <c r="O497" s="421"/>
      <c r="P497" s="428"/>
      <c r="Q497" s="443"/>
      <c r="R497" s="428"/>
      <c r="S497" s="421"/>
      <c r="T497" s="421"/>
      <c r="U497" s="421"/>
      <c r="V497" s="417">
        <v>231321.48</v>
      </c>
      <c r="W497" s="446">
        <v>12863.28</v>
      </c>
      <c r="X497" s="420"/>
      <c r="Y497" s="420"/>
      <c r="Z497" s="425">
        <f t="shared" ref="Z497:Z501" si="221">C497</f>
        <v>3098794.33</v>
      </c>
      <c r="AA497" s="420"/>
      <c r="AB497" s="425"/>
      <c r="AC497" s="426"/>
      <c r="AD497" s="351" t="s">
        <v>482</v>
      </c>
      <c r="AE497" s="319">
        <v>2024</v>
      </c>
      <c r="AF497" s="91"/>
      <c r="AG497" s="91"/>
    </row>
    <row r="498" spans="1:33" s="26" customFormat="1" ht="24" customHeight="1">
      <c r="A498" s="319">
        <f t="shared" si="215"/>
        <v>79</v>
      </c>
      <c r="B498" s="434" t="s">
        <v>485</v>
      </c>
      <c r="C498" s="418">
        <f t="shared" si="220"/>
        <v>2847008.33</v>
      </c>
      <c r="D498" s="428"/>
      <c r="E498" s="428"/>
      <c r="F498" s="428"/>
      <c r="G498" s="421"/>
      <c r="H498" s="429"/>
      <c r="I498" s="429"/>
      <c r="J498" s="864">
        <v>1</v>
      </c>
      <c r="K498" s="444">
        <v>2602823.5699999998</v>
      </c>
      <c r="L498" s="421"/>
      <c r="M498" s="421"/>
      <c r="N498" s="421"/>
      <c r="O498" s="421"/>
      <c r="P498" s="428"/>
      <c r="Q498" s="443"/>
      <c r="R498" s="428"/>
      <c r="S498" s="421"/>
      <c r="T498" s="421"/>
      <c r="U498" s="421"/>
      <c r="V498" s="417">
        <v>231321.48</v>
      </c>
      <c r="W498" s="446">
        <v>12863.28</v>
      </c>
      <c r="X498" s="420"/>
      <c r="Y498" s="420"/>
      <c r="Z498" s="425">
        <f t="shared" si="221"/>
        <v>2847008.33</v>
      </c>
      <c r="AA498" s="420"/>
      <c r="AB498" s="425"/>
      <c r="AC498" s="426"/>
      <c r="AD498" s="351" t="s">
        <v>482</v>
      </c>
      <c r="AE498" s="319">
        <v>2024</v>
      </c>
      <c r="AF498" s="91"/>
      <c r="AG498" s="91"/>
    </row>
    <row r="499" spans="1:33" s="26" customFormat="1" ht="24" customHeight="1">
      <c r="A499" s="319">
        <f t="shared" si="215"/>
        <v>80</v>
      </c>
      <c r="B499" s="434" t="s">
        <v>486</v>
      </c>
      <c r="C499" s="418">
        <f t="shared" si="220"/>
        <v>3265524.76</v>
      </c>
      <c r="D499" s="428"/>
      <c r="E499" s="428"/>
      <c r="F499" s="428"/>
      <c r="G499" s="421"/>
      <c r="H499" s="429"/>
      <c r="I499" s="429"/>
      <c r="J499" s="864">
        <v>1</v>
      </c>
      <c r="K499" s="428">
        <f t="shared" ref="K499:K502" si="222">2771340+250000</f>
        <v>3021340</v>
      </c>
      <c r="L499" s="421"/>
      <c r="M499" s="421"/>
      <c r="N499" s="421"/>
      <c r="O499" s="421"/>
      <c r="P499" s="428"/>
      <c r="Q499" s="443"/>
      <c r="R499" s="428"/>
      <c r="S499" s="421"/>
      <c r="T499" s="421"/>
      <c r="U499" s="421"/>
      <c r="V499" s="417">
        <v>231321.48</v>
      </c>
      <c r="W499" s="446">
        <v>12863.28</v>
      </c>
      <c r="X499" s="420"/>
      <c r="Y499" s="420"/>
      <c r="Z499" s="425">
        <f t="shared" si="221"/>
        <v>3265524.76</v>
      </c>
      <c r="AA499" s="420"/>
      <c r="AB499" s="425"/>
      <c r="AC499" s="426"/>
      <c r="AD499" s="351" t="s">
        <v>482</v>
      </c>
      <c r="AE499" s="319">
        <v>2024</v>
      </c>
      <c r="AF499" s="91"/>
      <c r="AG499" s="91"/>
    </row>
    <row r="500" spans="1:33" s="26" customFormat="1" ht="24" customHeight="1">
      <c r="A500" s="319">
        <f t="shared" si="215"/>
        <v>81</v>
      </c>
      <c r="B500" s="434" t="s">
        <v>487</v>
      </c>
      <c r="C500" s="418">
        <f t="shared" si="220"/>
        <v>3118363.69</v>
      </c>
      <c r="D500" s="428"/>
      <c r="E500" s="428"/>
      <c r="F500" s="428"/>
      <c r="G500" s="421"/>
      <c r="H500" s="429"/>
      <c r="I500" s="429"/>
      <c r="J500" s="864">
        <v>1</v>
      </c>
      <c r="K500" s="428">
        <v>2874178.93</v>
      </c>
      <c r="L500" s="421"/>
      <c r="M500" s="421"/>
      <c r="N500" s="421"/>
      <c r="O500" s="421"/>
      <c r="P500" s="428"/>
      <c r="Q500" s="443"/>
      <c r="R500" s="428"/>
      <c r="S500" s="421"/>
      <c r="T500" s="421"/>
      <c r="U500" s="421"/>
      <c r="V500" s="417">
        <v>231321.48</v>
      </c>
      <c r="W500" s="446">
        <v>12863.28</v>
      </c>
      <c r="X500" s="420"/>
      <c r="Y500" s="420"/>
      <c r="Z500" s="425">
        <f t="shared" si="221"/>
        <v>3118363.69</v>
      </c>
      <c r="AA500" s="420"/>
      <c r="AB500" s="425"/>
      <c r="AC500" s="426"/>
      <c r="AD500" s="351" t="s">
        <v>482</v>
      </c>
      <c r="AE500" s="319">
        <v>2024</v>
      </c>
      <c r="AF500" s="91"/>
      <c r="AG500" s="91"/>
    </row>
    <row r="501" spans="1:33" s="26" customFormat="1" ht="24" customHeight="1">
      <c r="A501" s="319">
        <f t="shared" si="215"/>
        <v>82</v>
      </c>
      <c r="B501" s="434" t="s">
        <v>488</v>
      </c>
      <c r="C501" s="418">
        <f t="shared" si="220"/>
        <v>3046278.27</v>
      </c>
      <c r="D501" s="428"/>
      <c r="E501" s="428"/>
      <c r="F501" s="428"/>
      <c r="G501" s="421"/>
      <c r="H501" s="429"/>
      <c r="I501" s="429"/>
      <c r="J501" s="864">
        <v>1</v>
      </c>
      <c r="K501" s="428">
        <v>2802093.51</v>
      </c>
      <c r="L501" s="421"/>
      <c r="M501" s="421"/>
      <c r="N501" s="421"/>
      <c r="O501" s="421"/>
      <c r="P501" s="428"/>
      <c r="Q501" s="443"/>
      <c r="R501" s="428"/>
      <c r="S501" s="421"/>
      <c r="T501" s="421"/>
      <c r="U501" s="421"/>
      <c r="V501" s="417">
        <v>231321.48</v>
      </c>
      <c r="W501" s="446">
        <v>12863.28</v>
      </c>
      <c r="X501" s="420"/>
      <c r="Y501" s="420"/>
      <c r="Z501" s="425">
        <f t="shared" si="221"/>
        <v>3046278.27</v>
      </c>
      <c r="AA501" s="420"/>
      <c r="AB501" s="425"/>
      <c r="AC501" s="426"/>
      <c r="AD501" s="351" t="s">
        <v>482</v>
      </c>
      <c r="AE501" s="319">
        <v>2024</v>
      </c>
      <c r="AF501" s="91"/>
      <c r="AG501" s="91"/>
    </row>
    <row r="502" spans="1:33" s="26" customFormat="1" ht="24" customHeight="1">
      <c r="A502" s="319">
        <f t="shared" si="215"/>
        <v>83</v>
      </c>
      <c r="B502" s="434" t="s">
        <v>942</v>
      </c>
      <c r="C502" s="418">
        <f t="shared" si="220"/>
        <v>3265524.76</v>
      </c>
      <c r="D502" s="428"/>
      <c r="E502" s="563"/>
      <c r="F502" s="428"/>
      <c r="G502" s="421"/>
      <c r="H502" s="429"/>
      <c r="I502" s="429"/>
      <c r="J502" s="864">
        <v>1</v>
      </c>
      <c r="K502" s="428">
        <f t="shared" si="222"/>
        <v>3021340</v>
      </c>
      <c r="L502" s="421"/>
      <c r="M502" s="421"/>
      <c r="N502" s="421"/>
      <c r="O502" s="421"/>
      <c r="P502" s="428"/>
      <c r="Q502" s="443"/>
      <c r="R502" s="428"/>
      <c r="S502" s="421"/>
      <c r="T502" s="421"/>
      <c r="U502" s="421"/>
      <c r="V502" s="417">
        <v>231321.48</v>
      </c>
      <c r="W502" s="446">
        <v>12863.28</v>
      </c>
      <c r="X502" s="420"/>
      <c r="Y502" s="420"/>
      <c r="Z502" s="425">
        <f>C502</f>
        <v>3265524.76</v>
      </c>
      <c r="AA502" s="420"/>
      <c r="AB502" s="425"/>
      <c r="AC502" s="426"/>
      <c r="AD502" s="351" t="s">
        <v>482</v>
      </c>
      <c r="AE502" s="319">
        <v>2024</v>
      </c>
      <c r="AF502" s="91"/>
      <c r="AG502" s="91"/>
    </row>
    <row r="503" spans="1:33" s="26" customFormat="1" ht="24" customHeight="1">
      <c r="A503" s="319">
        <f t="shared" si="215"/>
        <v>84</v>
      </c>
      <c r="B503" s="434" t="s">
        <v>868</v>
      </c>
      <c r="C503" s="418">
        <f t="shared" si="220"/>
        <v>6266826.1600000001</v>
      </c>
      <c r="D503" s="428"/>
      <c r="E503" s="563"/>
      <c r="F503" s="428"/>
      <c r="G503" s="421"/>
      <c r="H503" s="429"/>
      <c r="I503" s="429"/>
      <c r="J503" s="864">
        <v>2</v>
      </c>
      <c r="K503" s="428">
        <v>5791319.9199999999</v>
      </c>
      <c r="L503" s="421"/>
      <c r="M503" s="421"/>
      <c r="N503" s="421"/>
      <c r="O503" s="421"/>
      <c r="P503" s="428"/>
      <c r="Q503" s="443"/>
      <c r="R503" s="428"/>
      <c r="S503" s="421"/>
      <c r="T503" s="421"/>
      <c r="U503" s="421"/>
      <c r="V503" s="417">
        <v>462642.96</v>
      </c>
      <c r="W503" s="446">
        <v>12863.28</v>
      </c>
      <c r="X503" s="420"/>
      <c r="Y503" s="420"/>
      <c r="Z503" s="425">
        <f>C503</f>
        <v>6266826.1600000001</v>
      </c>
      <c r="AA503" s="420"/>
      <c r="AB503" s="425"/>
      <c r="AC503" s="426"/>
      <c r="AD503" s="351" t="s">
        <v>482</v>
      </c>
      <c r="AE503" s="319">
        <v>2024</v>
      </c>
      <c r="AF503" s="91"/>
      <c r="AG503" s="91"/>
    </row>
    <row r="504" spans="1:33" s="26" customFormat="1" ht="24" customHeight="1">
      <c r="A504" s="319">
        <f t="shared" si="215"/>
        <v>85</v>
      </c>
      <c r="B504" s="352" t="s">
        <v>869</v>
      </c>
      <c r="C504" s="321">
        <f t="shared" si="220"/>
        <v>6268186.2400000002</v>
      </c>
      <c r="D504" s="322"/>
      <c r="E504" s="867"/>
      <c r="F504" s="322"/>
      <c r="G504" s="323"/>
      <c r="H504" s="348"/>
      <c r="I504" s="348"/>
      <c r="J504" s="869">
        <v>2</v>
      </c>
      <c r="K504" s="322">
        <f>5542680+250000</f>
        <v>5792680</v>
      </c>
      <c r="L504" s="323"/>
      <c r="M504" s="323"/>
      <c r="N504" s="323"/>
      <c r="O504" s="323"/>
      <c r="P504" s="322"/>
      <c r="Q504" s="350"/>
      <c r="R504" s="322"/>
      <c r="S504" s="323"/>
      <c r="T504" s="323"/>
      <c r="U504" s="323"/>
      <c r="V504" s="331">
        <v>462642.96</v>
      </c>
      <c r="W504" s="354">
        <v>12863.28</v>
      </c>
      <c r="X504" s="330"/>
      <c r="Y504" s="330"/>
      <c r="Z504" s="339">
        <f>C504</f>
        <v>6268186.2400000002</v>
      </c>
      <c r="AA504" s="330"/>
      <c r="AB504" s="339"/>
      <c r="AC504" s="319"/>
      <c r="AD504" s="351" t="s">
        <v>482</v>
      </c>
      <c r="AE504" s="319">
        <v>2024</v>
      </c>
      <c r="AF504" s="91"/>
      <c r="AG504" s="91"/>
    </row>
    <row r="505" spans="1:33" s="26" customFormat="1" ht="24" customHeight="1">
      <c r="A505" s="18">
        <f t="shared" si="215"/>
        <v>86</v>
      </c>
      <c r="B505" s="61" t="s">
        <v>617</v>
      </c>
      <c r="C505" s="4">
        <f t="shared" ref="C505" si="223">D505+F505+G505+H505+I505+K505+L505+M505+O505+P505+Q505+R505+S505+W505+V505+X505</f>
        <v>1861001.14</v>
      </c>
      <c r="D505" s="9"/>
      <c r="E505" s="87">
        <v>1</v>
      </c>
      <c r="F505" s="100">
        <v>1612809</v>
      </c>
      <c r="G505" s="12"/>
      <c r="H505" s="9"/>
      <c r="I505" s="13"/>
      <c r="J505" s="862"/>
      <c r="K505" s="3"/>
      <c r="L505" s="12"/>
      <c r="M505" s="22"/>
      <c r="N505" s="22"/>
      <c r="O505" s="22"/>
      <c r="P505" s="21"/>
      <c r="Q505" s="9"/>
      <c r="R505" s="21"/>
      <c r="S505" s="12"/>
      <c r="T505" s="109"/>
      <c r="U505" s="109"/>
      <c r="V505" s="101">
        <v>224000</v>
      </c>
      <c r="W505" s="86">
        <v>24192.14</v>
      </c>
      <c r="X505" s="21"/>
      <c r="Y505" s="21"/>
      <c r="Z505" s="24"/>
      <c r="AA505" s="21"/>
      <c r="AB505" s="24">
        <f>C505</f>
        <v>1861001.14</v>
      </c>
      <c r="AC505" s="18"/>
      <c r="AD505" s="18">
        <v>2024</v>
      </c>
      <c r="AE505" s="18">
        <v>2025</v>
      </c>
      <c r="AF505" s="25"/>
      <c r="AG505" s="91"/>
    </row>
    <row r="506" spans="1:33" s="26" customFormat="1" ht="24" customHeight="1">
      <c r="A506" s="18">
        <f t="shared" si="215"/>
        <v>87</v>
      </c>
      <c r="B506" s="61" t="s">
        <v>628</v>
      </c>
      <c r="C506" s="4">
        <f t="shared" ref="C506:C511" si="224">D506+F506+G506+H506+I506+K506+L506+M506+O506+P506+Q506+R506+S506+W506+V506+X506</f>
        <v>1861001.14</v>
      </c>
      <c r="D506" s="9"/>
      <c r="E506" s="87">
        <v>1</v>
      </c>
      <c r="F506" s="100">
        <v>1612809</v>
      </c>
      <c r="G506" s="12"/>
      <c r="H506" s="9"/>
      <c r="I506" s="13"/>
      <c r="J506" s="862"/>
      <c r="K506" s="3"/>
      <c r="L506" s="12"/>
      <c r="M506" s="22"/>
      <c r="N506" s="22"/>
      <c r="O506" s="22"/>
      <c r="P506" s="21"/>
      <c r="Q506" s="9"/>
      <c r="R506" s="21"/>
      <c r="S506" s="12"/>
      <c r="T506" s="109"/>
      <c r="U506" s="109"/>
      <c r="V506" s="101">
        <v>224000</v>
      </c>
      <c r="W506" s="86">
        <v>24192.14</v>
      </c>
      <c r="X506" s="21"/>
      <c r="Y506" s="21"/>
      <c r="Z506" s="24"/>
      <c r="AA506" s="21"/>
      <c r="AB506" s="24">
        <f>C506</f>
        <v>1861001.14</v>
      </c>
      <c r="AC506" s="18"/>
      <c r="AD506" s="18">
        <v>2024</v>
      </c>
      <c r="AE506" s="18">
        <v>2025</v>
      </c>
      <c r="AF506" s="25"/>
      <c r="AG506" s="91"/>
    </row>
    <row r="507" spans="1:33" s="26" customFormat="1" ht="24" customHeight="1">
      <c r="A507" s="18">
        <f t="shared" si="215"/>
        <v>88</v>
      </c>
      <c r="B507" s="632" t="s">
        <v>205</v>
      </c>
      <c r="C507" s="587">
        <f t="shared" si="224"/>
        <v>16434247.470000001</v>
      </c>
      <c r="D507" s="580"/>
      <c r="E507" s="831"/>
      <c r="F507" s="581"/>
      <c r="G507" s="578"/>
      <c r="H507" s="582"/>
      <c r="I507" s="582"/>
      <c r="J507" s="831"/>
      <c r="K507" s="580"/>
      <c r="L507" s="578"/>
      <c r="M507" s="578">
        <f>865223.49+1975266.51</f>
        <v>2840490</v>
      </c>
      <c r="N507" s="579"/>
      <c r="O507" s="579"/>
      <c r="P507" s="581"/>
      <c r="Q507" s="580"/>
      <c r="R507" s="580">
        <f>ROUND(2559*3435.59,2)</f>
        <v>8791674.8100000005</v>
      </c>
      <c r="S507" s="580">
        <f>ROUND(2559*1135.41,2)</f>
        <v>2905514.19</v>
      </c>
      <c r="T507" s="580"/>
      <c r="U507" s="580"/>
      <c r="V507" s="583">
        <v>1708132.28</v>
      </c>
      <c r="W507" s="584">
        <v>188436.19</v>
      </c>
      <c r="X507" s="581"/>
      <c r="Y507" s="581"/>
      <c r="Z507" s="581"/>
      <c r="AA507" s="581"/>
      <c r="AB507" s="584">
        <f t="shared" ref="AB507" si="225">C507</f>
        <v>16434247.470000001</v>
      </c>
      <c r="AC507" s="585"/>
      <c r="AD507" s="585">
        <v>2024</v>
      </c>
      <c r="AE507" s="585">
        <v>2025</v>
      </c>
      <c r="AF507" s="91"/>
      <c r="AG507" s="91"/>
    </row>
    <row r="508" spans="1:33" s="26" customFormat="1" ht="24" customHeight="1">
      <c r="A508" s="18">
        <f t="shared" si="215"/>
        <v>89</v>
      </c>
      <c r="B508" s="353" t="s">
        <v>471</v>
      </c>
      <c r="C508" s="321">
        <f t="shared" si="224"/>
        <v>13680922.17</v>
      </c>
      <c r="D508" s="322"/>
      <c r="E508" s="830"/>
      <c r="F508" s="330"/>
      <c r="G508" s="323"/>
      <c r="H508" s="348"/>
      <c r="I508" s="348"/>
      <c r="J508" s="870"/>
      <c r="K508" s="322"/>
      <c r="L508" s="323"/>
      <c r="M508" s="323"/>
      <c r="N508" s="325"/>
      <c r="O508" s="325"/>
      <c r="P508" s="330"/>
      <c r="Q508" s="322"/>
      <c r="R508" s="388">
        <v>13029449.68</v>
      </c>
      <c r="S508" s="323"/>
      <c r="T508" s="323"/>
      <c r="U508" s="323"/>
      <c r="V508" s="388">
        <v>651472.48</v>
      </c>
      <c r="W508" s="342">
        <v>0.01</v>
      </c>
      <c r="X508" s="330"/>
      <c r="Y508" s="330"/>
      <c r="Z508" s="339">
        <f>C508</f>
        <v>13680922.17</v>
      </c>
      <c r="AA508" s="330"/>
      <c r="AB508" s="339"/>
      <c r="AC508" s="319"/>
      <c r="AD508" s="319">
        <v>2024</v>
      </c>
      <c r="AE508" s="319">
        <v>2024</v>
      </c>
      <c r="AF508" s="91"/>
      <c r="AG508" s="91"/>
    </row>
    <row r="509" spans="1:33" s="26" customFormat="1" ht="24" customHeight="1">
      <c r="A509" s="18">
        <f t="shared" si="215"/>
        <v>90</v>
      </c>
      <c r="B509" s="353" t="s">
        <v>472</v>
      </c>
      <c r="C509" s="321">
        <f t="shared" si="224"/>
        <v>13216436.550000001</v>
      </c>
      <c r="D509" s="322"/>
      <c r="E509" s="830"/>
      <c r="F509" s="330"/>
      <c r="G509" s="323"/>
      <c r="H509" s="348"/>
      <c r="I509" s="348"/>
      <c r="J509" s="870"/>
      <c r="K509" s="322"/>
      <c r="L509" s="323"/>
      <c r="M509" s="323"/>
      <c r="N509" s="325"/>
      <c r="O509" s="325"/>
      <c r="P509" s="330"/>
      <c r="Q509" s="322"/>
      <c r="R509" s="354">
        <v>12587082.42</v>
      </c>
      <c r="S509" s="323"/>
      <c r="T509" s="323"/>
      <c r="U509" s="323"/>
      <c r="V509" s="354">
        <v>629354.12</v>
      </c>
      <c r="W509" s="342">
        <v>0.01</v>
      </c>
      <c r="X509" s="330"/>
      <c r="Y509" s="330"/>
      <c r="Z509" s="339">
        <f>C509</f>
        <v>13216436.550000001</v>
      </c>
      <c r="AA509" s="330"/>
      <c r="AB509" s="339"/>
      <c r="AC509" s="319"/>
      <c r="AD509" s="319">
        <v>2024</v>
      </c>
      <c r="AE509" s="319">
        <v>2024</v>
      </c>
      <c r="AF509" s="91"/>
      <c r="AG509" s="91"/>
    </row>
    <row r="510" spans="1:33" s="26" customFormat="1" ht="24" customHeight="1">
      <c r="A510" s="18">
        <f t="shared" si="215"/>
        <v>91</v>
      </c>
      <c r="B510" s="353" t="s">
        <v>479</v>
      </c>
      <c r="C510" s="321">
        <f t="shared" si="224"/>
        <v>50535660.07</v>
      </c>
      <c r="D510" s="322"/>
      <c r="E510" s="830"/>
      <c r="F510" s="330"/>
      <c r="G510" s="323"/>
      <c r="H510" s="348"/>
      <c r="I510" s="348"/>
      <c r="J510" s="870"/>
      <c r="K510" s="322"/>
      <c r="L510" s="323"/>
      <c r="M510" s="323"/>
      <c r="N510" s="325"/>
      <c r="O510" s="325"/>
      <c r="P510" s="339">
        <v>26361940.510000002</v>
      </c>
      <c r="Q510" s="322"/>
      <c r="R510" s="322">
        <v>21439738.079999998</v>
      </c>
      <c r="S510" s="323"/>
      <c r="T510" s="323"/>
      <c r="U510" s="323"/>
      <c r="V510" s="331">
        <v>2390083.9300000002</v>
      </c>
      <c r="W510" s="346">
        <v>343897.55</v>
      </c>
      <c r="X510" s="330"/>
      <c r="Y510" s="330"/>
      <c r="Z510" s="339">
        <f>C510</f>
        <v>50535660.07</v>
      </c>
      <c r="AA510" s="330"/>
      <c r="AB510" s="339"/>
      <c r="AC510" s="319"/>
      <c r="AD510" s="319">
        <v>2024</v>
      </c>
      <c r="AE510" s="319">
        <v>2025</v>
      </c>
      <c r="AF510" s="91"/>
      <c r="AG510" s="91"/>
    </row>
    <row r="511" spans="1:33" s="26" customFormat="1" ht="24" customHeight="1">
      <c r="A511" s="18">
        <f t="shared" si="215"/>
        <v>92</v>
      </c>
      <c r="B511" s="667" t="s">
        <v>759</v>
      </c>
      <c r="C511" s="649">
        <f t="shared" si="224"/>
        <v>5304118.83</v>
      </c>
      <c r="D511" s="659"/>
      <c r="E511" s="753"/>
      <c r="F511" s="666"/>
      <c r="G511" s="661"/>
      <c r="H511" s="662"/>
      <c r="I511" s="662"/>
      <c r="J511" s="753">
        <v>2</v>
      </c>
      <c r="K511" s="659">
        <v>4846801.5199999996</v>
      </c>
      <c r="L511" s="661"/>
      <c r="M511" s="661"/>
      <c r="N511" s="663"/>
      <c r="O511" s="663"/>
      <c r="P511" s="654"/>
      <c r="Q511" s="659"/>
      <c r="R511" s="659"/>
      <c r="S511" s="661"/>
      <c r="T511" s="661"/>
      <c r="U511" s="661"/>
      <c r="V511" s="664">
        <v>448000</v>
      </c>
      <c r="W511" s="761">
        <v>9317.31</v>
      </c>
      <c r="X511" s="660"/>
      <c r="Y511" s="660"/>
      <c r="Z511" s="654">
        <f t="shared" ref="Z511" si="226">C511</f>
        <v>5304118.83</v>
      </c>
      <c r="AA511" s="660"/>
      <c r="AB511" s="654"/>
      <c r="AC511" s="648"/>
      <c r="AD511" s="648">
        <v>2024</v>
      </c>
      <c r="AE511" s="648">
        <v>2024</v>
      </c>
      <c r="AF511" s="91"/>
      <c r="AG511" s="91"/>
    </row>
    <row r="512" spans="1:33" s="26" customFormat="1" ht="24" customHeight="1">
      <c r="A512" s="18">
        <f t="shared" si="215"/>
        <v>93</v>
      </c>
      <c r="B512" s="434" t="s">
        <v>1009</v>
      </c>
      <c r="C512" s="418">
        <f t="shared" si="216"/>
        <v>7823242</v>
      </c>
      <c r="D512" s="433"/>
      <c r="E512" s="871"/>
      <c r="F512" s="433"/>
      <c r="G512" s="564"/>
      <c r="H512" s="433"/>
      <c r="I512" s="433"/>
      <c r="J512" s="444"/>
      <c r="K512" s="565"/>
      <c r="L512" s="564"/>
      <c r="M512" s="564"/>
      <c r="N512" s="566"/>
      <c r="O512" s="564"/>
      <c r="P512" s="564">
        <v>7823242</v>
      </c>
      <c r="Q512" s="564"/>
      <c r="R512" s="433"/>
      <c r="S512" s="433"/>
      <c r="T512" s="433"/>
      <c r="U512" s="433"/>
      <c r="V512" s="433"/>
      <c r="W512" s="446"/>
      <c r="X512" s="433"/>
      <c r="Y512" s="449"/>
      <c r="Z512" s="433"/>
      <c r="AA512" s="567"/>
      <c r="AB512" s="449">
        <v>7823242</v>
      </c>
      <c r="AC512" s="426"/>
      <c r="AD512" s="426">
        <v>2024</v>
      </c>
      <c r="AE512" s="426">
        <v>2024</v>
      </c>
      <c r="AF512" s="91"/>
      <c r="AG512" s="91"/>
    </row>
    <row r="513" spans="1:33" s="26" customFormat="1" ht="24" customHeight="1">
      <c r="A513" s="18">
        <f t="shared" si="215"/>
        <v>94</v>
      </c>
      <c r="B513" s="353" t="s">
        <v>1244</v>
      </c>
      <c r="C513" s="321">
        <f t="shared" si="216"/>
        <v>43334128.450000003</v>
      </c>
      <c r="D513" s="322"/>
      <c r="E513" s="830"/>
      <c r="F513" s="330"/>
      <c r="G513" s="323"/>
      <c r="H513" s="348"/>
      <c r="I513" s="348"/>
      <c r="J513" s="870"/>
      <c r="K513" s="322"/>
      <c r="L513" s="323"/>
      <c r="M513" s="323"/>
      <c r="N513" s="325"/>
      <c r="O513" s="325"/>
      <c r="P513" s="339">
        <v>14410326.6</v>
      </c>
      <c r="Q513" s="322"/>
      <c r="R513" s="322">
        <v>26579423.550000001</v>
      </c>
      <c r="S513" s="323"/>
      <c r="T513" s="323"/>
      <c r="U513" s="323"/>
      <c r="V513" s="331">
        <v>2049487.51</v>
      </c>
      <c r="W513" s="346">
        <v>294890.78999999998</v>
      </c>
      <c r="X513" s="330"/>
      <c r="Y513" s="330"/>
      <c r="Z513" s="339">
        <f t="shared" ref="Z513:Z518" si="227">C513</f>
        <v>43334128.450000003</v>
      </c>
      <c r="AA513" s="330"/>
      <c r="AB513" s="339"/>
      <c r="AC513" s="319"/>
      <c r="AD513" s="319">
        <v>2024</v>
      </c>
      <c r="AE513" s="319">
        <v>2025</v>
      </c>
      <c r="AF513" s="91"/>
      <c r="AG513" s="91"/>
    </row>
    <row r="514" spans="1:33" s="26" customFormat="1" ht="24" customHeight="1">
      <c r="A514" s="18">
        <f t="shared" si="215"/>
        <v>95</v>
      </c>
      <c r="B514" s="353" t="s">
        <v>1245</v>
      </c>
      <c r="C514" s="321">
        <f t="shared" si="216"/>
        <v>51249695.810000002</v>
      </c>
      <c r="D514" s="322"/>
      <c r="E514" s="830"/>
      <c r="F514" s="330"/>
      <c r="G514" s="323"/>
      <c r="H514" s="348"/>
      <c r="I514" s="348"/>
      <c r="J514" s="870"/>
      <c r="K514" s="322"/>
      <c r="L514" s="323"/>
      <c r="M514" s="323"/>
      <c r="N514" s="325"/>
      <c r="O514" s="325"/>
      <c r="P514" s="339">
        <v>17042568.550000001</v>
      </c>
      <c r="Q514" s="322"/>
      <c r="R514" s="322">
        <v>31434516.41</v>
      </c>
      <c r="S514" s="323"/>
      <c r="T514" s="323"/>
      <c r="U514" s="323"/>
      <c r="V514" s="331">
        <v>2423854.25</v>
      </c>
      <c r="W514" s="346">
        <v>348756.6</v>
      </c>
      <c r="X514" s="330"/>
      <c r="Y514" s="330"/>
      <c r="Z514" s="339">
        <f t="shared" si="227"/>
        <v>51249695.810000002</v>
      </c>
      <c r="AA514" s="330"/>
      <c r="AB514" s="339"/>
      <c r="AC514" s="319"/>
      <c r="AD514" s="319">
        <v>2024</v>
      </c>
      <c r="AE514" s="319">
        <v>2025</v>
      </c>
      <c r="AF514" s="91"/>
      <c r="AG514" s="91"/>
    </row>
    <row r="515" spans="1:33" s="26" customFormat="1" ht="24" customHeight="1">
      <c r="A515" s="18">
        <f t="shared" si="215"/>
        <v>96</v>
      </c>
      <c r="B515" s="353" t="s">
        <v>1246</v>
      </c>
      <c r="C515" s="321">
        <f t="shared" si="216"/>
        <v>44966080.380000003</v>
      </c>
      <c r="D515" s="322"/>
      <c r="E515" s="830"/>
      <c r="F515" s="330"/>
      <c r="G515" s="323"/>
      <c r="H515" s="348"/>
      <c r="I515" s="348"/>
      <c r="J515" s="870"/>
      <c r="K515" s="322"/>
      <c r="L515" s="323"/>
      <c r="M515" s="323"/>
      <c r="N515" s="325"/>
      <c r="O515" s="325"/>
      <c r="P515" s="339">
        <v>14953015.73</v>
      </c>
      <c r="Q515" s="322"/>
      <c r="R515" s="322">
        <v>27580397.68</v>
      </c>
      <c r="S515" s="323"/>
      <c r="T515" s="323"/>
      <c r="U515" s="323"/>
      <c r="V515" s="331">
        <v>2126670.67</v>
      </c>
      <c r="W515" s="346">
        <v>305996.3</v>
      </c>
      <c r="X515" s="330"/>
      <c r="Y515" s="330"/>
      <c r="Z515" s="339">
        <f t="shared" si="227"/>
        <v>44966080.380000003</v>
      </c>
      <c r="AA515" s="330"/>
      <c r="AB515" s="339"/>
      <c r="AC515" s="319"/>
      <c r="AD515" s="319">
        <v>2024</v>
      </c>
      <c r="AE515" s="319">
        <v>2025</v>
      </c>
      <c r="AF515" s="91"/>
      <c r="AG515" s="91"/>
    </row>
    <row r="516" spans="1:33" s="26" customFormat="1" ht="24" customHeight="1">
      <c r="A516" s="18">
        <f t="shared" si="215"/>
        <v>97</v>
      </c>
      <c r="B516" s="353" t="s">
        <v>1247</v>
      </c>
      <c r="C516" s="321">
        <f t="shared" si="216"/>
        <v>45134212.789999999</v>
      </c>
      <c r="D516" s="322"/>
      <c r="E516" s="830"/>
      <c r="F516" s="330"/>
      <c r="G516" s="323"/>
      <c r="H516" s="348"/>
      <c r="I516" s="348"/>
      <c r="J516" s="870"/>
      <c r="K516" s="322"/>
      <c r="L516" s="323"/>
      <c r="M516" s="323"/>
      <c r="N516" s="325"/>
      <c r="O516" s="325"/>
      <c r="P516" s="339">
        <v>15008926.460000001</v>
      </c>
      <c r="Q516" s="322"/>
      <c r="R516" s="322">
        <v>27683523.390000001</v>
      </c>
      <c r="S516" s="323"/>
      <c r="T516" s="323"/>
      <c r="U516" s="323"/>
      <c r="V516" s="331">
        <v>2134622.4900000002</v>
      </c>
      <c r="W516" s="346">
        <v>307140.45</v>
      </c>
      <c r="X516" s="330"/>
      <c r="Y516" s="330"/>
      <c r="Z516" s="339">
        <f t="shared" si="227"/>
        <v>45134212.789999999</v>
      </c>
      <c r="AA516" s="330"/>
      <c r="AB516" s="339"/>
      <c r="AC516" s="319"/>
      <c r="AD516" s="319">
        <v>2024</v>
      </c>
      <c r="AE516" s="319">
        <v>2025</v>
      </c>
      <c r="AF516" s="91"/>
      <c r="AG516" s="91"/>
    </row>
    <row r="517" spans="1:33" s="26" customFormat="1" ht="24" customHeight="1">
      <c r="A517" s="18">
        <f t="shared" si="215"/>
        <v>98</v>
      </c>
      <c r="B517" s="445" t="s">
        <v>1248</v>
      </c>
      <c r="C517" s="418">
        <f t="shared" si="216"/>
        <v>3096596.91</v>
      </c>
      <c r="D517" s="428"/>
      <c r="E517" s="734"/>
      <c r="F517" s="420"/>
      <c r="G517" s="421"/>
      <c r="H517" s="429"/>
      <c r="I517" s="429"/>
      <c r="J517" s="864">
        <v>1</v>
      </c>
      <c r="K517" s="428">
        <v>2852412.15</v>
      </c>
      <c r="L517" s="421"/>
      <c r="M517" s="421"/>
      <c r="N517" s="422"/>
      <c r="O517" s="422"/>
      <c r="P517" s="427"/>
      <c r="Q517" s="428"/>
      <c r="R517" s="428"/>
      <c r="S517" s="421"/>
      <c r="T517" s="421"/>
      <c r="U517" s="421"/>
      <c r="V517" s="417">
        <v>231321.48</v>
      </c>
      <c r="W517" s="446">
        <v>12863.28</v>
      </c>
      <c r="X517" s="420"/>
      <c r="Y517" s="420"/>
      <c r="Z517" s="425">
        <f t="shared" si="227"/>
        <v>3096596.91</v>
      </c>
      <c r="AA517" s="420"/>
      <c r="AB517" s="425"/>
      <c r="AC517" s="426"/>
      <c r="AD517" s="319">
        <v>2024</v>
      </c>
      <c r="AE517" s="319">
        <v>2024</v>
      </c>
      <c r="AF517" s="91"/>
      <c r="AG517" s="91"/>
    </row>
    <row r="518" spans="1:33" s="26" customFormat="1" ht="24" customHeight="1">
      <c r="A518" s="18">
        <f t="shared" si="215"/>
        <v>99</v>
      </c>
      <c r="B518" s="445" t="s">
        <v>1249</v>
      </c>
      <c r="C518" s="418">
        <f t="shared" si="216"/>
        <v>3265524.82</v>
      </c>
      <c r="D518" s="428"/>
      <c r="E518" s="734"/>
      <c r="F518" s="420"/>
      <c r="G518" s="421"/>
      <c r="H518" s="429"/>
      <c r="I518" s="429"/>
      <c r="J518" s="864">
        <v>1</v>
      </c>
      <c r="K518" s="428">
        <f>2771340+250000</f>
        <v>3021340</v>
      </c>
      <c r="L518" s="421"/>
      <c r="M518" s="421"/>
      <c r="N518" s="422"/>
      <c r="O518" s="422"/>
      <c r="P518" s="427"/>
      <c r="Q518" s="428"/>
      <c r="R518" s="428"/>
      <c r="S518" s="421"/>
      <c r="T518" s="421"/>
      <c r="U518" s="421"/>
      <c r="V518" s="417">
        <v>231321.54</v>
      </c>
      <c r="W518" s="446">
        <v>12863.28</v>
      </c>
      <c r="X518" s="420"/>
      <c r="Y518" s="420"/>
      <c r="Z518" s="425">
        <f t="shared" si="227"/>
        <v>3265524.82</v>
      </c>
      <c r="AA518" s="420"/>
      <c r="AB518" s="425"/>
      <c r="AC518" s="426"/>
      <c r="AD518" s="319">
        <v>2024</v>
      </c>
      <c r="AE518" s="319">
        <v>2024</v>
      </c>
      <c r="AF518" s="91"/>
      <c r="AG518" s="91"/>
    </row>
    <row r="519" spans="1:33" s="26" customFormat="1" ht="24" customHeight="1">
      <c r="A519" s="18">
        <f t="shared" si="215"/>
        <v>100</v>
      </c>
      <c r="B519" s="445" t="s">
        <v>281</v>
      </c>
      <c r="C519" s="418">
        <f t="shared" si="216"/>
        <v>1139806.8999999999</v>
      </c>
      <c r="D519" s="428"/>
      <c r="E519" s="734">
        <v>1</v>
      </c>
      <c r="F519" s="446">
        <v>983813.24</v>
      </c>
      <c r="G519" s="421"/>
      <c r="H519" s="428"/>
      <c r="I519" s="429"/>
      <c r="J519" s="855"/>
      <c r="K519" s="417"/>
      <c r="L519" s="421"/>
      <c r="M519" s="422"/>
      <c r="N519" s="422"/>
      <c r="O519" s="422"/>
      <c r="P519" s="420"/>
      <c r="Q519" s="428"/>
      <c r="R519" s="420"/>
      <c r="S519" s="421"/>
      <c r="T519" s="421"/>
      <c r="U519" s="421"/>
      <c r="V519" s="446">
        <v>136639.96</v>
      </c>
      <c r="W519" s="446">
        <v>19353.7</v>
      </c>
      <c r="X519" s="420"/>
      <c r="Y519" s="420"/>
      <c r="Z519" s="425">
        <f>C519</f>
        <v>1139806.8999999999</v>
      </c>
      <c r="AA519" s="420"/>
      <c r="AB519" s="425"/>
      <c r="AC519" s="426"/>
      <c r="AD519" s="319">
        <v>2024</v>
      </c>
      <c r="AE519" s="319">
        <v>2024</v>
      </c>
      <c r="AF519" s="91"/>
      <c r="AG519" s="91"/>
    </row>
    <row r="520" spans="1:33" s="26" customFormat="1" ht="24" customHeight="1">
      <c r="A520" s="319">
        <f t="shared" si="215"/>
        <v>101</v>
      </c>
      <c r="B520" s="445" t="s">
        <v>604</v>
      </c>
      <c r="C520" s="418">
        <f t="shared" si="216"/>
        <v>910436.72</v>
      </c>
      <c r="D520" s="428">
        <v>854870.16</v>
      </c>
      <c r="E520" s="734"/>
      <c r="F520" s="447"/>
      <c r="G520" s="421"/>
      <c r="H520" s="428"/>
      <c r="I520" s="429"/>
      <c r="J520" s="556"/>
      <c r="K520" s="417"/>
      <c r="L520" s="421"/>
      <c r="M520" s="422"/>
      <c r="N520" s="422"/>
      <c r="O520" s="422"/>
      <c r="P520" s="420"/>
      <c r="Q520" s="428"/>
      <c r="R520" s="420"/>
      <c r="S520" s="421"/>
      <c r="T520" s="421"/>
      <c r="U520" s="421"/>
      <c r="V520" s="448">
        <v>42743.51</v>
      </c>
      <c r="W520" s="735">
        <v>12823.05</v>
      </c>
      <c r="X520" s="420"/>
      <c r="Y520" s="420"/>
      <c r="Z520" s="425"/>
      <c r="AA520" s="420"/>
      <c r="AB520" s="425">
        <f>C520</f>
        <v>910436.72</v>
      </c>
      <c r="AC520" s="426"/>
      <c r="AD520" s="319">
        <v>2024</v>
      </c>
      <c r="AE520" s="319">
        <v>2025</v>
      </c>
      <c r="AF520" s="91"/>
      <c r="AG520" s="91"/>
    </row>
    <row r="521" spans="1:33" s="26" customFormat="1" ht="24" customHeight="1">
      <c r="A521" s="319">
        <f t="shared" si="215"/>
        <v>102</v>
      </c>
      <c r="B521" s="445" t="s">
        <v>489</v>
      </c>
      <c r="C521" s="418">
        <f t="shared" si="216"/>
        <v>3142302.23</v>
      </c>
      <c r="D521" s="428"/>
      <c r="E521" s="563"/>
      <c r="F521" s="428"/>
      <c r="G521" s="421"/>
      <c r="H521" s="429"/>
      <c r="I521" s="429"/>
      <c r="J521" s="864">
        <v>1</v>
      </c>
      <c r="K521" s="428">
        <v>2898117.47</v>
      </c>
      <c r="L521" s="421"/>
      <c r="M521" s="421"/>
      <c r="N521" s="421"/>
      <c r="O521" s="421"/>
      <c r="P521" s="428"/>
      <c r="Q521" s="443"/>
      <c r="R521" s="428"/>
      <c r="S521" s="421"/>
      <c r="T521" s="421"/>
      <c r="U521" s="421"/>
      <c r="V521" s="417">
        <v>231321.48</v>
      </c>
      <c r="W521" s="446">
        <v>12863.28</v>
      </c>
      <c r="X521" s="420"/>
      <c r="Y521" s="420"/>
      <c r="Z521" s="425">
        <f t="shared" ref="Z521:Z525" si="228">C521</f>
        <v>3142302.23</v>
      </c>
      <c r="AA521" s="420"/>
      <c r="AB521" s="425"/>
      <c r="AC521" s="426"/>
      <c r="AD521" s="351" t="s">
        <v>482</v>
      </c>
      <c r="AE521" s="319">
        <v>2024</v>
      </c>
      <c r="AF521" s="91"/>
      <c r="AG521" s="91"/>
    </row>
    <row r="522" spans="1:33" s="26" customFormat="1" ht="24" customHeight="1">
      <c r="A522" s="319">
        <f t="shared" si="215"/>
        <v>103</v>
      </c>
      <c r="B522" s="445" t="s">
        <v>490</v>
      </c>
      <c r="C522" s="418">
        <f t="shared" si="216"/>
        <v>3255922.39</v>
      </c>
      <c r="D522" s="428"/>
      <c r="E522" s="563"/>
      <c r="F522" s="428"/>
      <c r="G522" s="421"/>
      <c r="H522" s="429"/>
      <c r="I522" s="429"/>
      <c r="J522" s="864">
        <v>1</v>
      </c>
      <c r="K522" s="449">
        <v>3011737.63</v>
      </c>
      <c r="L522" s="421"/>
      <c r="M522" s="421"/>
      <c r="N522" s="421"/>
      <c r="O522" s="421"/>
      <c r="P522" s="428"/>
      <c r="Q522" s="443"/>
      <c r="R522" s="428"/>
      <c r="S522" s="421"/>
      <c r="T522" s="421"/>
      <c r="U522" s="421"/>
      <c r="V522" s="417">
        <v>231321.48</v>
      </c>
      <c r="W522" s="446">
        <v>12863.28</v>
      </c>
      <c r="X522" s="420"/>
      <c r="Y522" s="420"/>
      <c r="Z522" s="425">
        <f t="shared" si="228"/>
        <v>3255922.39</v>
      </c>
      <c r="AA522" s="420"/>
      <c r="AB522" s="425"/>
      <c r="AC522" s="426"/>
      <c r="AD522" s="351" t="s">
        <v>482</v>
      </c>
      <c r="AE522" s="319">
        <v>2024</v>
      </c>
      <c r="AF522" s="91"/>
      <c r="AG522" s="91"/>
    </row>
    <row r="523" spans="1:33" s="26" customFormat="1" ht="24" customHeight="1">
      <c r="A523" s="319">
        <f t="shared" si="215"/>
        <v>104</v>
      </c>
      <c r="B523" s="445" t="s">
        <v>491</v>
      </c>
      <c r="C523" s="418">
        <f t="shared" si="216"/>
        <v>3114339.88</v>
      </c>
      <c r="D523" s="428"/>
      <c r="E523" s="563"/>
      <c r="F523" s="428"/>
      <c r="G523" s="421"/>
      <c r="H523" s="429"/>
      <c r="I523" s="429"/>
      <c r="J523" s="864">
        <v>1</v>
      </c>
      <c r="K523" s="428">
        <v>2870155.12</v>
      </c>
      <c r="L523" s="421"/>
      <c r="M523" s="421"/>
      <c r="N523" s="421"/>
      <c r="O523" s="421"/>
      <c r="P523" s="428"/>
      <c r="Q523" s="443"/>
      <c r="R523" s="428"/>
      <c r="S523" s="421"/>
      <c r="T523" s="421"/>
      <c r="U523" s="421"/>
      <c r="V523" s="417">
        <v>231321.48</v>
      </c>
      <c r="W523" s="446">
        <v>12863.28</v>
      </c>
      <c r="X523" s="420"/>
      <c r="Y523" s="420"/>
      <c r="Z523" s="425">
        <f t="shared" si="228"/>
        <v>3114339.88</v>
      </c>
      <c r="AA523" s="420"/>
      <c r="AB523" s="425"/>
      <c r="AC523" s="426"/>
      <c r="AD523" s="351" t="s">
        <v>482</v>
      </c>
      <c r="AE523" s="319">
        <v>2024</v>
      </c>
      <c r="AF523" s="91"/>
      <c r="AG523" s="91"/>
    </row>
    <row r="524" spans="1:33" s="26" customFormat="1" ht="24" customHeight="1">
      <c r="A524" s="319">
        <f t="shared" si="215"/>
        <v>105</v>
      </c>
      <c r="B524" s="445" t="s">
        <v>492</v>
      </c>
      <c r="C524" s="418">
        <f t="shared" si="216"/>
        <v>3145233.39</v>
      </c>
      <c r="D524" s="428"/>
      <c r="E524" s="428"/>
      <c r="F524" s="428"/>
      <c r="G524" s="421"/>
      <c r="H524" s="429"/>
      <c r="I524" s="429"/>
      <c r="J524" s="864">
        <v>1</v>
      </c>
      <c r="K524" s="428">
        <v>2901048.63</v>
      </c>
      <c r="L524" s="421"/>
      <c r="M524" s="421"/>
      <c r="N524" s="421"/>
      <c r="O524" s="421"/>
      <c r="P524" s="428"/>
      <c r="Q524" s="443"/>
      <c r="R524" s="428"/>
      <c r="S524" s="421"/>
      <c r="T524" s="421"/>
      <c r="U524" s="421"/>
      <c r="V524" s="417">
        <v>231321.48</v>
      </c>
      <c r="W524" s="446">
        <v>12863.28</v>
      </c>
      <c r="X524" s="420"/>
      <c r="Y524" s="420"/>
      <c r="Z524" s="425">
        <f t="shared" si="228"/>
        <v>3145233.39</v>
      </c>
      <c r="AA524" s="420"/>
      <c r="AB524" s="425"/>
      <c r="AC524" s="426"/>
      <c r="AD524" s="351" t="s">
        <v>482</v>
      </c>
      <c r="AE524" s="319">
        <v>2024</v>
      </c>
      <c r="AF524" s="91"/>
      <c r="AG524" s="91"/>
    </row>
    <row r="525" spans="1:33" s="26" customFormat="1" ht="24" customHeight="1">
      <c r="A525" s="319">
        <f t="shared" si="215"/>
        <v>106</v>
      </c>
      <c r="B525" s="445" t="s">
        <v>493</v>
      </c>
      <c r="C525" s="418">
        <f t="shared" si="216"/>
        <v>3184526.85</v>
      </c>
      <c r="D525" s="428"/>
      <c r="E525" s="428"/>
      <c r="F525" s="428"/>
      <c r="G525" s="421"/>
      <c r="H525" s="429"/>
      <c r="I525" s="429"/>
      <c r="J525" s="864">
        <v>1</v>
      </c>
      <c r="K525" s="428">
        <v>2940342.09</v>
      </c>
      <c r="L525" s="421"/>
      <c r="M525" s="421"/>
      <c r="N525" s="421"/>
      <c r="O525" s="421"/>
      <c r="P525" s="428"/>
      <c r="Q525" s="443"/>
      <c r="R525" s="428"/>
      <c r="S525" s="421"/>
      <c r="T525" s="421"/>
      <c r="U525" s="421"/>
      <c r="V525" s="417">
        <v>231321.48</v>
      </c>
      <c r="W525" s="446">
        <v>12863.28</v>
      </c>
      <c r="X525" s="420"/>
      <c r="Y525" s="420"/>
      <c r="Z525" s="425">
        <f t="shared" si="228"/>
        <v>3184526.85</v>
      </c>
      <c r="AA525" s="420"/>
      <c r="AB525" s="425"/>
      <c r="AC525" s="426"/>
      <c r="AD525" s="351" t="s">
        <v>482</v>
      </c>
      <c r="AE525" s="319">
        <v>2024</v>
      </c>
      <c r="AF525" s="91"/>
      <c r="AG525" s="91"/>
    </row>
    <row r="526" spans="1:33" s="26" customFormat="1" ht="24" customHeight="1">
      <c r="A526" s="319">
        <f t="shared" si="215"/>
        <v>107</v>
      </c>
      <c r="B526" s="353" t="s">
        <v>494</v>
      </c>
      <c r="C526" s="321">
        <f t="shared" si="216"/>
        <v>3255922.39</v>
      </c>
      <c r="D526" s="322"/>
      <c r="E526" s="322"/>
      <c r="F526" s="322"/>
      <c r="G526" s="323"/>
      <c r="H526" s="348"/>
      <c r="I526" s="348"/>
      <c r="J526" s="869">
        <v>1</v>
      </c>
      <c r="K526" s="356">
        <v>3011737.63</v>
      </c>
      <c r="L526" s="323"/>
      <c r="M526" s="323"/>
      <c r="N526" s="323"/>
      <c r="O526" s="323"/>
      <c r="P526" s="322"/>
      <c r="Q526" s="350"/>
      <c r="R526" s="322"/>
      <c r="S526" s="323"/>
      <c r="T526" s="323"/>
      <c r="U526" s="323"/>
      <c r="V526" s="331">
        <v>231321.48</v>
      </c>
      <c r="W526" s="354">
        <v>12863.28</v>
      </c>
      <c r="X526" s="330"/>
      <c r="Y526" s="330"/>
      <c r="Z526" s="339">
        <f t="shared" ref="Z526:Z529" si="229">C526</f>
        <v>3255922.39</v>
      </c>
      <c r="AA526" s="330"/>
      <c r="AB526" s="339"/>
      <c r="AC526" s="319"/>
      <c r="AD526" s="351" t="s">
        <v>482</v>
      </c>
      <c r="AE526" s="319">
        <v>2024</v>
      </c>
      <c r="AF526" s="91"/>
      <c r="AG526" s="91"/>
    </row>
    <row r="527" spans="1:33" s="26" customFormat="1" ht="24" customHeight="1">
      <c r="A527" s="319">
        <f t="shared" si="215"/>
        <v>108</v>
      </c>
      <c r="B527" s="353" t="s">
        <v>517</v>
      </c>
      <c r="C527" s="321">
        <f t="shared" si="216"/>
        <v>3265524.76</v>
      </c>
      <c r="D527" s="322"/>
      <c r="E527" s="322"/>
      <c r="F527" s="322"/>
      <c r="G527" s="323"/>
      <c r="H527" s="348"/>
      <c r="I527" s="348"/>
      <c r="J527" s="869">
        <v>1</v>
      </c>
      <c r="K527" s="322">
        <f t="shared" ref="K527:K529" si="230">2771340+250000</f>
        <v>3021340</v>
      </c>
      <c r="L527" s="323"/>
      <c r="M527" s="323"/>
      <c r="N527" s="323"/>
      <c r="O527" s="323"/>
      <c r="P527" s="322"/>
      <c r="Q527" s="350"/>
      <c r="R527" s="322"/>
      <c r="S527" s="323"/>
      <c r="T527" s="323"/>
      <c r="U527" s="323"/>
      <c r="V527" s="331">
        <v>231321.48</v>
      </c>
      <c r="W527" s="354">
        <v>12863.28</v>
      </c>
      <c r="X527" s="330"/>
      <c r="Y527" s="330"/>
      <c r="Z527" s="339">
        <f t="shared" si="229"/>
        <v>3265524.76</v>
      </c>
      <c r="AA527" s="330"/>
      <c r="AB527" s="339"/>
      <c r="AC527" s="319"/>
      <c r="AD527" s="351" t="s">
        <v>482</v>
      </c>
      <c r="AE527" s="319">
        <v>2024</v>
      </c>
      <c r="AF527" s="91"/>
      <c r="AG527" s="91"/>
    </row>
    <row r="528" spans="1:33" s="26" customFormat="1" ht="24" customHeight="1">
      <c r="A528" s="319">
        <f t="shared" si="215"/>
        <v>109</v>
      </c>
      <c r="B528" s="353" t="s">
        <v>518</v>
      </c>
      <c r="C528" s="321">
        <f t="shared" si="216"/>
        <v>3223954.73</v>
      </c>
      <c r="D528" s="322"/>
      <c r="E528" s="867"/>
      <c r="F528" s="322"/>
      <c r="G528" s="323"/>
      <c r="H528" s="348"/>
      <c r="I528" s="348"/>
      <c r="J528" s="869">
        <v>1</v>
      </c>
      <c r="K528" s="322">
        <f t="shared" si="230"/>
        <v>3021340</v>
      </c>
      <c r="L528" s="323"/>
      <c r="M528" s="323"/>
      <c r="N528" s="323"/>
      <c r="O528" s="323"/>
      <c r="P528" s="322"/>
      <c r="Q528" s="350"/>
      <c r="R528" s="322"/>
      <c r="S528" s="323"/>
      <c r="T528" s="323"/>
      <c r="U528" s="323"/>
      <c r="V528" s="331">
        <f>231321.55-41570.1</f>
        <v>189751.45</v>
      </c>
      <c r="W528" s="354">
        <v>12863.28</v>
      </c>
      <c r="X528" s="330"/>
      <c r="Y528" s="330"/>
      <c r="Z528" s="339">
        <f t="shared" si="229"/>
        <v>3223954.73</v>
      </c>
      <c r="AA528" s="330"/>
      <c r="AB528" s="339"/>
      <c r="AC528" s="319"/>
      <c r="AD528" s="351" t="s">
        <v>482</v>
      </c>
      <c r="AE528" s="319">
        <v>2024</v>
      </c>
      <c r="AF528" s="91"/>
      <c r="AG528" s="91"/>
    </row>
    <row r="529" spans="1:33" s="26" customFormat="1" ht="24" customHeight="1">
      <c r="A529" s="319">
        <f t="shared" si="215"/>
        <v>110</v>
      </c>
      <c r="B529" s="353" t="s">
        <v>519</v>
      </c>
      <c r="C529" s="321">
        <f t="shared" si="216"/>
        <v>3223954.73</v>
      </c>
      <c r="D529" s="322"/>
      <c r="E529" s="867"/>
      <c r="F529" s="322"/>
      <c r="G529" s="323"/>
      <c r="H529" s="348"/>
      <c r="I529" s="348"/>
      <c r="J529" s="869">
        <v>1</v>
      </c>
      <c r="K529" s="322">
        <f t="shared" si="230"/>
        <v>3021340</v>
      </c>
      <c r="L529" s="323"/>
      <c r="M529" s="323"/>
      <c r="N529" s="323"/>
      <c r="O529" s="323"/>
      <c r="P529" s="322"/>
      <c r="Q529" s="350"/>
      <c r="R529" s="322"/>
      <c r="S529" s="323"/>
      <c r="T529" s="323"/>
      <c r="U529" s="323"/>
      <c r="V529" s="331">
        <f>231321.55-41570.1</f>
        <v>189751.45</v>
      </c>
      <c r="W529" s="354">
        <v>12863.28</v>
      </c>
      <c r="X529" s="330"/>
      <c r="Y529" s="330"/>
      <c r="Z529" s="339">
        <f t="shared" si="229"/>
        <v>3223954.73</v>
      </c>
      <c r="AA529" s="330"/>
      <c r="AB529" s="339"/>
      <c r="AC529" s="319"/>
      <c r="AD529" s="351" t="s">
        <v>482</v>
      </c>
      <c r="AE529" s="319">
        <v>2024</v>
      </c>
      <c r="AF529" s="91"/>
      <c r="AG529" s="91"/>
    </row>
    <row r="530" spans="1:33" s="26" customFormat="1" ht="24" customHeight="1">
      <c r="A530" s="18">
        <f t="shared" si="215"/>
        <v>111</v>
      </c>
      <c r="B530" s="150" t="s">
        <v>1028</v>
      </c>
      <c r="C530" s="4">
        <f t="shared" ref="C530:C531" si="231">D530+F530+G530+H530+I530+K530+L530+M530+O530+P530+Q530+R530+S530+W530+V530+X530</f>
        <v>10683771.390000001</v>
      </c>
      <c r="D530" s="108"/>
      <c r="E530" s="739"/>
      <c r="F530" s="108"/>
      <c r="G530" s="109"/>
      <c r="H530" s="110"/>
      <c r="I530" s="110"/>
      <c r="J530" s="861"/>
      <c r="K530" s="108"/>
      <c r="L530" s="109"/>
      <c r="M530" s="109"/>
      <c r="N530" s="109"/>
      <c r="O530" s="109"/>
      <c r="P530" s="108"/>
      <c r="Q530" s="809">
        <v>3469510.77</v>
      </c>
      <c r="R530" s="108"/>
      <c r="S530" s="109">
        <v>6562199.46</v>
      </c>
      <c r="T530" s="109"/>
      <c r="U530" s="109"/>
      <c r="V530" s="116">
        <v>501585.51</v>
      </c>
      <c r="W530" s="741">
        <v>150475.65</v>
      </c>
      <c r="X530" s="107"/>
      <c r="Y530" s="107"/>
      <c r="Z530" s="111"/>
      <c r="AA530" s="107"/>
      <c r="AB530" s="111">
        <f>C530</f>
        <v>10683771.390000001</v>
      </c>
      <c r="AC530" s="112"/>
      <c r="AD530" s="136" t="s">
        <v>482</v>
      </c>
      <c r="AE530" s="112">
        <v>2025</v>
      </c>
      <c r="AF530" s="25"/>
      <c r="AG530" s="91"/>
    </row>
    <row r="531" spans="1:33" s="26" customFormat="1" ht="24" customHeight="1">
      <c r="A531" s="18">
        <f t="shared" si="215"/>
        <v>112</v>
      </c>
      <c r="B531" s="61" t="s">
        <v>898</v>
      </c>
      <c r="C531" s="4">
        <f t="shared" si="231"/>
        <v>1861001.14</v>
      </c>
      <c r="D531" s="9"/>
      <c r="E531" s="87">
        <v>1</v>
      </c>
      <c r="F531" s="781">
        <v>1612809</v>
      </c>
      <c r="G531" s="12"/>
      <c r="H531" s="9"/>
      <c r="I531" s="13"/>
      <c r="J531" s="862"/>
      <c r="K531" s="3"/>
      <c r="L531" s="12"/>
      <c r="M531" s="22"/>
      <c r="N531" s="22"/>
      <c r="O531" s="22"/>
      <c r="P531" s="21"/>
      <c r="Q531" s="9"/>
      <c r="R531" s="21"/>
      <c r="S531" s="12"/>
      <c r="T531" s="109"/>
      <c r="U531" s="109"/>
      <c r="V531" s="101">
        <v>224000</v>
      </c>
      <c r="W531" s="86">
        <v>24192.14</v>
      </c>
      <c r="X531" s="21"/>
      <c r="Y531" s="21"/>
      <c r="Z531" s="24"/>
      <c r="AA531" s="21"/>
      <c r="AB531" s="111">
        <f t="shared" ref="AB531" si="232">C531</f>
        <v>1861001.14</v>
      </c>
      <c r="AC531" s="18"/>
      <c r="AD531" s="18">
        <v>2024</v>
      </c>
      <c r="AE531" s="18">
        <v>2025</v>
      </c>
      <c r="AF531" s="25"/>
      <c r="AG531" s="91"/>
    </row>
    <row r="532" spans="1:33" s="26" customFormat="1" ht="24" customHeight="1">
      <c r="A532" s="319">
        <f t="shared" si="215"/>
        <v>113</v>
      </c>
      <c r="B532" s="353" t="s">
        <v>899</v>
      </c>
      <c r="C532" s="321">
        <f>D532+F532+G532+H532+I532+K532+L532+M532+O532+P532+Q532+R532+S532+W532+V532+X532</f>
        <v>1521070.32</v>
      </c>
      <c r="D532" s="322"/>
      <c r="E532" s="830">
        <v>1</v>
      </c>
      <c r="F532" s="810">
        <v>1314439.17</v>
      </c>
      <c r="G532" s="323"/>
      <c r="H532" s="322"/>
      <c r="I532" s="348"/>
      <c r="J532" s="870"/>
      <c r="K532" s="331"/>
      <c r="L532" s="323"/>
      <c r="M532" s="325"/>
      <c r="N532" s="325"/>
      <c r="O532" s="325"/>
      <c r="P532" s="330"/>
      <c r="Q532" s="322"/>
      <c r="R532" s="330"/>
      <c r="S532" s="323"/>
      <c r="T532" s="323"/>
      <c r="U532" s="323"/>
      <c r="V532" s="355">
        <v>182559.98</v>
      </c>
      <c r="W532" s="346">
        <v>24071.17</v>
      </c>
      <c r="X532" s="330"/>
      <c r="Y532" s="330"/>
      <c r="Z532" s="339">
        <f>C532</f>
        <v>1521070.32</v>
      </c>
      <c r="AA532" s="330"/>
      <c r="AB532" s="339"/>
      <c r="AC532" s="319"/>
      <c r="AD532" s="319">
        <v>2024</v>
      </c>
      <c r="AE532" s="319">
        <v>2024</v>
      </c>
      <c r="AF532" s="91"/>
      <c r="AG532" s="91"/>
    </row>
    <row r="533" spans="1:33" s="26" customFormat="1" ht="24" customHeight="1">
      <c r="A533" s="212">
        <f t="shared" si="215"/>
        <v>114</v>
      </c>
      <c r="B533" s="219" t="s">
        <v>900</v>
      </c>
      <c r="C533" s="213">
        <f t="shared" ref="C533:C542" si="233">D533+F533+G533+H533+I533+K533+L533+M533+O533+P533+Q533+R533+S533+W533+V533+X533</f>
        <v>3260975.39</v>
      </c>
      <c r="D533" s="214">
        <v>3061948.72</v>
      </c>
      <c r="E533" s="811"/>
      <c r="F533" s="811"/>
      <c r="G533" s="215"/>
      <c r="H533" s="216"/>
      <c r="I533" s="216"/>
      <c r="J533" s="557"/>
      <c r="K533" s="214"/>
      <c r="L533" s="215"/>
      <c r="M533" s="215"/>
      <c r="N533" s="215"/>
      <c r="O533" s="215"/>
      <c r="P533" s="214"/>
      <c r="Q533" s="217"/>
      <c r="R533" s="214"/>
      <c r="S533" s="215"/>
      <c r="T533" s="215"/>
      <c r="U533" s="215"/>
      <c r="V533" s="209">
        <v>153097.44</v>
      </c>
      <c r="W533" s="221">
        <v>45929.23</v>
      </c>
      <c r="X533" s="210"/>
      <c r="Y533" s="210"/>
      <c r="Z533" s="211"/>
      <c r="AA533" s="210"/>
      <c r="AB533" s="211">
        <f t="shared" ref="AB533" si="234">C533</f>
        <v>3260975.39</v>
      </c>
      <c r="AC533" s="212"/>
      <c r="AD533" s="218" t="s">
        <v>482</v>
      </c>
      <c r="AE533" s="212">
        <v>2025</v>
      </c>
      <c r="AF533" s="91"/>
      <c r="AG533" s="91"/>
    </row>
    <row r="534" spans="1:33" s="26" customFormat="1" ht="24" customHeight="1">
      <c r="A534" s="212">
        <f t="shared" si="215"/>
        <v>115</v>
      </c>
      <c r="B534" s="219" t="s">
        <v>512</v>
      </c>
      <c r="C534" s="213">
        <f t="shared" si="233"/>
        <v>1148990.95</v>
      </c>
      <c r="D534" s="214"/>
      <c r="E534" s="820">
        <v>1</v>
      </c>
      <c r="F534" s="221">
        <v>991877.28</v>
      </c>
      <c r="G534" s="215"/>
      <c r="H534" s="214"/>
      <c r="I534" s="216"/>
      <c r="J534" s="558"/>
      <c r="K534" s="209"/>
      <c r="L534" s="215"/>
      <c r="M534" s="220"/>
      <c r="N534" s="220"/>
      <c r="O534" s="220"/>
      <c r="P534" s="210"/>
      <c r="Q534" s="214"/>
      <c r="R534" s="210"/>
      <c r="S534" s="215"/>
      <c r="T534" s="215"/>
      <c r="U534" s="215"/>
      <c r="V534" s="221">
        <v>137759.97</v>
      </c>
      <c r="W534" s="221">
        <v>19353.7</v>
      </c>
      <c r="X534" s="210"/>
      <c r="Y534" s="210"/>
      <c r="Z534" s="211">
        <f>C534</f>
        <v>1148990.95</v>
      </c>
      <c r="AA534" s="210"/>
      <c r="AB534" s="211"/>
      <c r="AC534" s="212"/>
      <c r="AD534" s="212">
        <v>2024</v>
      </c>
      <c r="AE534" s="212">
        <v>2024</v>
      </c>
      <c r="AF534" s="91"/>
      <c r="AG534" s="91"/>
    </row>
    <row r="535" spans="1:33" s="26" customFormat="1" ht="24" customHeight="1">
      <c r="A535" s="212">
        <f t="shared" si="215"/>
        <v>116</v>
      </c>
      <c r="B535" s="219" t="s">
        <v>1250</v>
      </c>
      <c r="C535" s="213">
        <f t="shared" si="233"/>
        <v>11549873.880000001</v>
      </c>
      <c r="D535" s="214"/>
      <c r="E535" s="811"/>
      <c r="F535" s="811"/>
      <c r="G535" s="215"/>
      <c r="H535" s="216"/>
      <c r="I535" s="216"/>
      <c r="J535" s="557"/>
      <c r="K535" s="214"/>
      <c r="L535" s="215"/>
      <c r="M535" s="215"/>
      <c r="N535" s="868">
        <v>3</v>
      </c>
      <c r="O535" s="215">
        <f>3614984*N535</f>
        <v>10844952</v>
      </c>
      <c r="P535" s="215"/>
      <c r="Q535" s="222"/>
      <c r="R535" s="214"/>
      <c r="S535" s="215"/>
      <c r="T535" s="215"/>
      <c r="U535" s="215"/>
      <c r="V535" s="209">
        <v>542247.6</v>
      </c>
      <c r="W535" s="221">
        <v>162674.28</v>
      </c>
      <c r="X535" s="210"/>
      <c r="Y535" s="210"/>
      <c r="Z535" s="211"/>
      <c r="AA535" s="210"/>
      <c r="AB535" s="211">
        <f>C535</f>
        <v>11549873.880000001</v>
      </c>
      <c r="AC535" s="212"/>
      <c r="AD535" s="218" t="s">
        <v>482</v>
      </c>
      <c r="AE535" s="212">
        <v>2025</v>
      </c>
      <c r="AF535" s="91"/>
      <c r="AG535" s="91"/>
    </row>
    <row r="536" spans="1:33" s="26" customFormat="1" ht="24" customHeight="1">
      <c r="A536" s="212">
        <f t="shared" si="215"/>
        <v>117</v>
      </c>
      <c r="B536" s="219" t="s">
        <v>901</v>
      </c>
      <c r="C536" s="213">
        <f t="shared" si="233"/>
        <v>1194911.31</v>
      </c>
      <c r="D536" s="214"/>
      <c r="E536" s="820">
        <v>1</v>
      </c>
      <c r="F536" s="221">
        <v>1032197.62</v>
      </c>
      <c r="G536" s="215"/>
      <c r="H536" s="214"/>
      <c r="I536" s="216"/>
      <c r="J536" s="558"/>
      <c r="K536" s="209"/>
      <c r="L536" s="215"/>
      <c r="M536" s="220"/>
      <c r="N536" s="220"/>
      <c r="O536" s="220"/>
      <c r="P536" s="210"/>
      <c r="Q536" s="214"/>
      <c r="R536" s="210"/>
      <c r="S536" s="215"/>
      <c r="T536" s="215"/>
      <c r="U536" s="215"/>
      <c r="V536" s="221">
        <v>143359.98000000001</v>
      </c>
      <c r="W536" s="221">
        <v>19353.71</v>
      </c>
      <c r="X536" s="210"/>
      <c r="Y536" s="210"/>
      <c r="Z536" s="211">
        <f t="shared" ref="Z536:Z542" si="235">C536</f>
        <v>1194911.31</v>
      </c>
      <c r="AA536" s="210"/>
      <c r="AB536" s="211"/>
      <c r="AC536" s="212"/>
      <c r="AD536" s="212">
        <v>2024</v>
      </c>
      <c r="AE536" s="212">
        <v>2024</v>
      </c>
      <c r="AF536" s="91"/>
      <c r="AG536" s="91"/>
    </row>
    <row r="537" spans="1:33" s="26" customFormat="1" ht="24" customHeight="1">
      <c r="A537" s="212">
        <f t="shared" si="215"/>
        <v>118</v>
      </c>
      <c r="B537" s="219" t="s">
        <v>902</v>
      </c>
      <c r="C537" s="213">
        <f t="shared" si="233"/>
        <v>1860880.18</v>
      </c>
      <c r="D537" s="214"/>
      <c r="E537" s="820">
        <v>1</v>
      </c>
      <c r="F537" s="812">
        <v>1612809</v>
      </c>
      <c r="G537" s="215"/>
      <c r="H537" s="214"/>
      <c r="I537" s="216"/>
      <c r="J537" s="558"/>
      <c r="K537" s="209"/>
      <c r="L537" s="215"/>
      <c r="M537" s="220"/>
      <c r="N537" s="220"/>
      <c r="O537" s="220"/>
      <c r="P537" s="210"/>
      <c r="Q537" s="214"/>
      <c r="R537" s="210"/>
      <c r="S537" s="215"/>
      <c r="T537" s="215"/>
      <c r="U537" s="215"/>
      <c r="V537" s="223">
        <v>224000</v>
      </c>
      <c r="W537" s="813">
        <v>24071.18</v>
      </c>
      <c r="X537" s="210"/>
      <c r="Y537" s="210"/>
      <c r="Z537" s="211">
        <f t="shared" si="235"/>
        <v>1860880.18</v>
      </c>
      <c r="AA537" s="210"/>
      <c r="AB537" s="211"/>
      <c r="AC537" s="212"/>
      <c r="AD537" s="212">
        <v>2024</v>
      </c>
      <c r="AE537" s="212">
        <v>2024</v>
      </c>
      <c r="AF537" s="91"/>
      <c r="AG537" s="91"/>
    </row>
    <row r="538" spans="1:33" s="26" customFormat="1" ht="24" customHeight="1">
      <c r="A538" s="319">
        <f t="shared" si="215"/>
        <v>119</v>
      </c>
      <c r="B538" s="353" t="s">
        <v>1252</v>
      </c>
      <c r="C538" s="321">
        <f t="shared" si="233"/>
        <v>4392087.66</v>
      </c>
      <c r="D538" s="322"/>
      <c r="E538" s="830"/>
      <c r="F538" s="810"/>
      <c r="G538" s="323"/>
      <c r="H538" s="322"/>
      <c r="I538" s="348"/>
      <c r="J538" s="539"/>
      <c r="K538" s="331"/>
      <c r="L538" s="323"/>
      <c r="M538" s="325"/>
      <c r="N538" s="325"/>
      <c r="O538" s="325"/>
      <c r="P538" s="330"/>
      <c r="Q538" s="322"/>
      <c r="R538" s="354">
        <v>4106787.47</v>
      </c>
      <c r="S538" s="323"/>
      <c r="T538" s="323"/>
      <c r="U538" s="323"/>
      <c r="V538" s="354">
        <v>205339.37</v>
      </c>
      <c r="W538" s="346">
        <v>79960.820000000007</v>
      </c>
      <c r="X538" s="330"/>
      <c r="Y538" s="330"/>
      <c r="Z538" s="339">
        <f t="shared" si="235"/>
        <v>4392087.66</v>
      </c>
      <c r="AA538" s="330"/>
      <c r="AB538" s="339"/>
      <c r="AC538" s="319"/>
      <c r="AD538" s="319">
        <v>2024</v>
      </c>
      <c r="AE538" s="319">
        <v>2024</v>
      </c>
      <c r="AF538" s="91"/>
      <c r="AG538" s="91"/>
    </row>
    <row r="539" spans="1:33" s="26" customFormat="1" ht="24" customHeight="1">
      <c r="A539" s="319">
        <f t="shared" si="215"/>
        <v>120</v>
      </c>
      <c r="B539" s="353" t="s">
        <v>1253</v>
      </c>
      <c r="C539" s="321">
        <f t="shared" si="233"/>
        <v>15086804.85</v>
      </c>
      <c r="D539" s="322"/>
      <c r="E539" s="830"/>
      <c r="F539" s="810"/>
      <c r="G539" s="323"/>
      <c r="H539" s="322"/>
      <c r="I539" s="348"/>
      <c r="J539" s="539"/>
      <c r="K539" s="331"/>
      <c r="L539" s="323"/>
      <c r="M539" s="325"/>
      <c r="N539" s="325"/>
      <c r="O539" s="325"/>
      <c r="P539" s="354">
        <v>9944756.0199999996</v>
      </c>
      <c r="Q539" s="344"/>
      <c r="R539" s="354">
        <v>4162043.73</v>
      </c>
      <c r="S539" s="357"/>
      <c r="T539" s="357"/>
      <c r="U539" s="357"/>
      <c r="V539" s="355">
        <v>705340</v>
      </c>
      <c r="W539" s="346">
        <v>274665.09999999998</v>
      </c>
      <c r="X539" s="330"/>
      <c r="Y539" s="330"/>
      <c r="Z539" s="339">
        <f t="shared" si="235"/>
        <v>15086804.85</v>
      </c>
      <c r="AA539" s="330"/>
      <c r="AB539" s="339"/>
      <c r="AC539" s="319"/>
      <c r="AD539" s="319">
        <v>2024</v>
      </c>
      <c r="AE539" s="319">
        <v>2024</v>
      </c>
      <c r="AF539" s="25"/>
      <c r="AG539" s="91"/>
    </row>
    <row r="540" spans="1:33" s="26" customFormat="1" ht="24" customHeight="1">
      <c r="A540" s="319">
        <f t="shared" si="215"/>
        <v>121</v>
      </c>
      <c r="B540" s="353" t="s">
        <v>1254</v>
      </c>
      <c r="C540" s="321">
        <f t="shared" si="233"/>
        <v>15377556.98</v>
      </c>
      <c r="D540" s="322"/>
      <c r="E540" s="830"/>
      <c r="F540" s="810"/>
      <c r="G540" s="323"/>
      <c r="H540" s="322"/>
      <c r="I540" s="348"/>
      <c r="J540" s="539"/>
      <c r="K540" s="331"/>
      <c r="L540" s="323"/>
      <c r="M540" s="325"/>
      <c r="N540" s="325"/>
      <c r="O540" s="325"/>
      <c r="P540" s="354">
        <v>10136410.859999999</v>
      </c>
      <c r="Q540" s="344"/>
      <c r="R540" s="354">
        <v>4242254.42</v>
      </c>
      <c r="S540" s="323"/>
      <c r="T540" s="323"/>
      <c r="U540" s="323"/>
      <c r="V540" s="355">
        <v>718933.26</v>
      </c>
      <c r="W540" s="346">
        <v>279958.44</v>
      </c>
      <c r="X540" s="330"/>
      <c r="Y540" s="330"/>
      <c r="Z540" s="339">
        <f t="shared" si="235"/>
        <v>15377556.98</v>
      </c>
      <c r="AA540" s="330"/>
      <c r="AB540" s="339"/>
      <c r="AC540" s="319"/>
      <c r="AD540" s="319">
        <v>2024</v>
      </c>
      <c r="AE540" s="319">
        <v>2024</v>
      </c>
      <c r="AF540" s="91"/>
      <c r="AG540" s="91"/>
    </row>
    <row r="541" spans="1:33" s="26" customFormat="1" ht="24" customHeight="1">
      <c r="A541" s="319">
        <f t="shared" si="215"/>
        <v>122</v>
      </c>
      <c r="B541" s="353" t="s">
        <v>1255</v>
      </c>
      <c r="C541" s="321">
        <f t="shared" si="233"/>
        <v>4333628.16</v>
      </c>
      <c r="D541" s="322"/>
      <c r="E541" s="830"/>
      <c r="F541" s="810"/>
      <c r="G541" s="323"/>
      <c r="H541" s="322"/>
      <c r="I541" s="348"/>
      <c r="J541" s="539"/>
      <c r="K541" s="331"/>
      <c r="L541" s="323"/>
      <c r="M541" s="325"/>
      <c r="N541" s="325"/>
      <c r="O541" s="325"/>
      <c r="P541" s="340"/>
      <c r="Q541" s="344"/>
      <c r="R541" s="354">
        <v>4052125.37</v>
      </c>
      <c r="S541" s="323"/>
      <c r="T541" s="323"/>
      <c r="U541" s="323"/>
      <c r="V541" s="354">
        <v>202606.27</v>
      </c>
      <c r="W541" s="346">
        <v>78896.52</v>
      </c>
      <c r="X541" s="330"/>
      <c r="Y541" s="330"/>
      <c r="Z541" s="339">
        <f t="shared" si="235"/>
        <v>4333628.16</v>
      </c>
      <c r="AA541" s="330"/>
      <c r="AB541" s="339"/>
      <c r="AC541" s="319"/>
      <c r="AD541" s="319">
        <v>2024</v>
      </c>
      <c r="AE541" s="319">
        <v>2024</v>
      </c>
      <c r="AF541" s="91"/>
      <c r="AG541" s="91"/>
    </row>
    <row r="542" spans="1:33" s="26" customFormat="1" ht="24" customHeight="1">
      <c r="A542" s="319">
        <f t="shared" si="215"/>
        <v>123</v>
      </c>
      <c r="B542" s="353" t="s">
        <v>1256</v>
      </c>
      <c r="C542" s="321">
        <f t="shared" si="233"/>
        <v>13335969.15</v>
      </c>
      <c r="D542" s="322"/>
      <c r="E542" s="319"/>
      <c r="F542" s="349"/>
      <c r="G542" s="323"/>
      <c r="H542" s="322"/>
      <c r="I542" s="348"/>
      <c r="J542" s="539"/>
      <c r="K542" s="331"/>
      <c r="L542" s="323"/>
      <c r="M542" s="325"/>
      <c r="N542" s="325"/>
      <c r="O542" s="325"/>
      <c r="P542" s="354">
        <v>7529682.0700000003</v>
      </c>
      <c r="Q542" s="344"/>
      <c r="R542" s="354">
        <v>5030285.5199999996</v>
      </c>
      <c r="S542" s="323"/>
      <c r="T542" s="323"/>
      <c r="U542" s="323"/>
      <c r="V542" s="355">
        <v>627998.39</v>
      </c>
      <c r="W542" s="346">
        <v>148003.17000000001</v>
      </c>
      <c r="X542" s="330"/>
      <c r="Y542" s="330"/>
      <c r="Z542" s="339">
        <f t="shared" si="235"/>
        <v>13335969.15</v>
      </c>
      <c r="AA542" s="330"/>
      <c r="AB542" s="339"/>
      <c r="AC542" s="319"/>
      <c r="AD542" s="319">
        <v>2024</v>
      </c>
      <c r="AE542" s="319">
        <v>2024</v>
      </c>
      <c r="AF542" s="91"/>
      <c r="AG542" s="91"/>
    </row>
    <row r="543" spans="1:33" s="26" customFormat="1" ht="24" customHeight="1">
      <c r="A543" s="18">
        <f t="shared" si="215"/>
        <v>124</v>
      </c>
      <c r="B543" s="61" t="s">
        <v>1257</v>
      </c>
      <c r="C543" s="4">
        <f t="shared" si="216"/>
        <v>15707690.74</v>
      </c>
      <c r="D543" s="9">
        <f>ROUND(2924.4*589.88,2)</f>
        <v>1725045.07</v>
      </c>
      <c r="E543" s="21"/>
      <c r="F543" s="21"/>
      <c r="G543" s="12">
        <f>ROUND(2924.4*596.38,2)</f>
        <v>1744053.67</v>
      </c>
      <c r="H543" s="13">
        <f>ROUND(2924.4*1074.75,2)</f>
        <v>3142998.9</v>
      </c>
      <c r="I543" s="13">
        <f>ROUND(2924.4*871.5,2)</f>
        <v>2548614.6</v>
      </c>
      <c r="J543" s="555"/>
      <c r="K543" s="9"/>
      <c r="L543" s="12">
        <f>ROUND(2924.4*616.25,2)</f>
        <v>1802161.5</v>
      </c>
      <c r="M543" s="22"/>
      <c r="N543" s="22"/>
      <c r="O543" s="22"/>
      <c r="P543" s="21"/>
      <c r="Q543" s="9"/>
      <c r="R543" s="9"/>
      <c r="S543" s="9">
        <f>ROUND(2924.4*1135.41,2)</f>
        <v>3320393</v>
      </c>
      <c r="T543" s="108"/>
      <c r="U543" s="108"/>
      <c r="V543" s="3">
        <v>1210175</v>
      </c>
      <c r="W543" s="86">
        <v>214249</v>
      </c>
      <c r="X543" s="21"/>
      <c r="Y543" s="21"/>
      <c r="Z543" s="21"/>
      <c r="AA543" s="21"/>
      <c r="AB543" s="24">
        <f t="shared" si="217"/>
        <v>15707690.74</v>
      </c>
      <c r="AC543" s="18"/>
      <c r="AD543" s="18">
        <v>2024</v>
      </c>
      <c r="AE543" s="18">
        <v>2024</v>
      </c>
      <c r="AF543" s="25"/>
      <c r="AG543" s="91"/>
    </row>
    <row r="544" spans="1:33" s="26" customFormat="1" ht="24" customHeight="1">
      <c r="A544" s="18">
        <f t="shared" si="215"/>
        <v>125</v>
      </c>
      <c r="B544" s="61" t="s">
        <v>1258</v>
      </c>
      <c r="C544" s="4">
        <f t="shared" si="216"/>
        <v>23007269.18</v>
      </c>
      <c r="D544" s="9">
        <f>ROUND(2440.8*589.88,2)</f>
        <v>1439779.1</v>
      </c>
      <c r="E544" s="21"/>
      <c r="F544" s="21"/>
      <c r="G544" s="12">
        <f>ROUND(2440.8*596.38,2)</f>
        <v>1455644.3</v>
      </c>
      <c r="H544" s="13">
        <f>ROUND(2440.8*1074.75,2)</f>
        <v>2623249.7999999998</v>
      </c>
      <c r="I544" s="13">
        <f>ROUND(2440.8*871.5,2)</f>
        <v>2127157.2000000002</v>
      </c>
      <c r="J544" s="555"/>
      <c r="K544" s="9"/>
      <c r="L544" s="12">
        <f>ROUND(2440.8*616.25,2)</f>
        <v>1504143</v>
      </c>
      <c r="M544" s="22"/>
      <c r="N544" s="22"/>
      <c r="O544" s="22"/>
      <c r="P544" s="22"/>
      <c r="Q544" s="12"/>
      <c r="R544" s="9">
        <f>ROUND(2440.8*3842.27,2)</f>
        <v>9378212.6199999992</v>
      </c>
      <c r="S544" s="9">
        <f>ROUND(2440.8*1135.41,2)</f>
        <v>2771308.73</v>
      </c>
      <c r="T544" s="108"/>
      <c r="U544" s="108"/>
      <c r="V544" s="3">
        <v>1388282.01</v>
      </c>
      <c r="W544" s="86">
        <v>319492.42</v>
      </c>
      <c r="X544" s="21"/>
      <c r="Y544" s="21"/>
      <c r="Z544" s="21"/>
      <c r="AA544" s="21"/>
      <c r="AB544" s="24">
        <f t="shared" si="217"/>
        <v>23007269.18</v>
      </c>
      <c r="AC544" s="18"/>
      <c r="AD544" s="18">
        <v>2024</v>
      </c>
      <c r="AE544" s="18">
        <v>2024</v>
      </c>
      <c r="AF544" s="25"/>
      <c r="AG544" s="91"/>
    </row>
    <row r="545" spans="1:33" s="26" customFormat="1" ht="24" customHeight="1">
      <c r="A545" s="18">
        <f t="shared" si="215"/>
        <v>126</v>
      </c>
      <c r="B545" s="61" t="s">
        <v>1259</v>
      </c>
      <c r="C545" s="4">
        <f t="shared" si="216"/>
        <v>7513521.6699999999</v>
      </c>
      <c r="D545" s="108"/>
      <c r="E545" s="107"/>
      <c r="F545" s="107"/>
      <c r="G545" s="109"/>
      <c r="H545" s="110"/>
      <c r="I545" s="110"/>
      <c r="J545" s="559"/>
      <c r="K545" s="103"/>
      <c r="L545" s="109"/>
      <c r="M545" s="113"/>
      <c r="N545" s="113"/>
      <c r="O545" s="113"/>
      <c r="P545" s="117">
        <v>7054949.9199999999</v>
      </c>
      <c r="Q545" s="109"/>
      <c r="R545" s="108"/>
      <c r="S545" s="109"/>
      <c r="T545" s="109"/>
      <c r="U545" s="109"/>
      <c r="V545" s="116">
        <v>352747.5</v>
      </c>
      <c r="W545" s="814">
        <v>105824.25</v>
      </c>
      <c r="X545" s="107"/>
      <c r="Y545" s="107"/>
      <c r="Z545" s="107"/>
      <c r="AA545" s="107"/>
      <c r="AB545" s="111">
        <f>C545</f>
        <v>7513521.6699999999</v>
      </c>
      <c r="AC545" s="112"/>
      <c r="AD545" s="112">
        <v>2024</v>
      </c>
      <c r="AE545" s="112">
        <v>2025</v>
      </c>
      <c r="AF545" s="25"/>
      <c r="AG545" s="91"/>
    </row>
    <row r="546" spans="1:33" s="26" customFormat="1" ht="24" customHeight="1">
      <c r="A546" s="319">
        <f t="shared" si="215"/>
        <v>127</v>
      </c>
      <c r="B546" s="353" t="s">
        <v>343</v>
      </c>
      <c r="C546" s="321">
        <f t="shared" si="216"/>
        <v>37292718.729999997</v>
      </c>
      <c r="D546" s="322"/>
      <c r="E546" s="330"/>
      <c r="F546" s="330"/>
      <c r="G546" s="323"/>
      <c r="H546" s="348"/>
      <c r="I546" s="348"/>
      <c r="J546" s="539"/>
      <c r="K546" s="103"/>
      <c r="L546" s="323"/>
      <c r="M546" s="325"/>
      <c r="N546" s="325"/>
      <c r="O546" s="325"/>
      <c r="P546" s="389">
        <v>16131688.93</v>
      </c>
      <c r="Q546" s="323"/>
      <c r="R546" s="165">
        <v>18258310.800000001</v>
      </c>
      <c r="S546" s="323"/>
      <c r="T546" s="323"/>
      <c r="U546" s="323"/>
      <c r="V546" s="331">
        <f>1137656.35+1050732.25</f>
        <v>2188388.6</v>
      </c>
      <c r="W546" s="346">
        <f>371352.01+342978.39</f>
        <v>714330.4</v>
      </c>
      <c r="X546" s="330"/>
      <c r="Y546" s="330"/>
      <c r="Z546" s="339">
        <f>C546</f>
        <v>37292718.729999997</v>
      </c>
      <c r="AA546" s="330"/>
      <c r="AB546" s="339"/>
      <c r="AC546" s="319"/>
      <c r="AD546" s="319">
        <v>2024</v>
      </c>
      <c r="AE546" s="319">
        <v>2024</v>
      </c>
      <c r="AF546" s="91"/>
      <c r="AG546" s="91"/>
    </row>
    <row r="547" spans="1:33" s="26" customFormat="1" ht="24" customHeight="1">
      <c r="A547" s="585">
        <f t="shared" si="215"/>
        <v>128</v>
      </c>
      <c r="B547" s="632" t="s">
        <v>476</v>
      </c>
      <c r="C547" s="587">
        <f t="shared" si="216"/>
        <v>22164372.52</v>
      </c>
      <c r="D547" s="580"/>
      <c r="E547" s="581"/>
      <c r="F547" s="581"/>
      <c r="G547" s="578"/>
      <c r="H547" s="582"/>
      <c r="I547" s="582"/>
      <c r="J547" s="585"/>
      <c r="K547" s="103"/>
      <c r="L547" s="578"/>
      <c r="M547" s="579"/>
      <c r="N547" s="579"/>
      <c r="O547" s="579"/>
      <c r="P547" s="618">
        <v>9088157.0199999996</v>
      </c>
      <c r="Q547" s="578"/>
      <c r="R547" s="580">
        <v>11867679.65</v>
      </c>
      <c r="S547" s="578"/>
      <c r="T547" s="578"/>
      <c r="U547" s="578"/>
      <c r="V547" s="583">
        <v>1056518.53</v>
      </c>
      <c r="W547" s="584">
        <f>316955.56-164938.24</f>
        <v>152017.32</v>
      </c>
      <c r="X547" s="581"/>
      <c r="Y547" s="581"/>
      <c r="Z547" s="584">
        <f>C547</f>
        <v>22164372.52</v>
      </c>
      <c r="AA547" s="581"/>
      <c r="AB547" s="584"/>
      <c r="AC547" s="585"/>
      <c r="AD547" s="585">
        <v>2024</v>
      </c>
      <c r="AE547" s="585">
        <v>2025</v>
      </c>
      <c r="AF547" s="91"/>
      <c r="AG547" s="91"/>
    </row>
    <row r="548" spans="1:33" s="26" customFormat="1" ht="24" customHeight="1">
      <c r="A548" s="585">
        <f t="shared" si="215"/>
        <v>129</v>
      </c>
      <c r="B548" s="632" t="s">
        <v>473</v>
      </c>
      <c r="C548" s="587">
        <f t="shared" si="216"/>
        <v>34769256.850000001</v>
      </c>
      <c r="D548" s="580"/>
      <c r="E548" s="831"/>
      <c r="F548" s="581"/>
      <c r="G548" s="578"/>
      <c r="H548" s="582"/>
      <c r="I548" s="582"/>
      <c r="J548" s="585"/>
      <c r="K548" s="103"/>
      <c r="L548" s="578"/>
      <c r="M548" s="579"/>
      <c r="N548" s="579"/>
      <c r="O548" s="579"/>
      <c r="P548" s="618">
        <v>14261231.300000001</v>
      </c>
      <c r="Q548" s="578"/>
      <c r="R548" s="580">
        <v>18611578.43</v>
      </c>
      <c r="S548" s="578"/>
      <c r="T548" s="578"/>
      <c r="U548" s="578"/>
      <c r="V548" s="583">
        <v>1657899.96</v>
      </c>
      <c r="W548" s="584">
        <f>497369.99-258822.83</f>
        <v>238547.16</v>
      </c>
      <c r="X548" s="581"/>
      <c r="Y548" s="581"/>
      <c r="Z548" s="584">
        <f>C548</f>
        <v>34769256.850000001</v>
      </c>
      <c r="AA548" s="581"/>
      <c r="AB548" s="584"/>
      <c r="AC548" s="585"/>
      <c r="AD548" s="585">
        <v>2024</v>
      </c>
      <c r="AE548" s="585">
        <v>2025</v>
      </c>
      <c r="AF548" s="91"/>
      <c r="AG548" s="91"/>
    </row>
    <row r="549" spans="1:33" s="26" customFormat="1" ht="24" customHeight="1">
      <c r="A549" s="18">
        <f t="shared" si="215"/>
        <v>130</v>
      </c>
      <c r="B549" s="61" t="s">
        <v>473</v>
      </c>
      <c r="C549" s="4">
        <f t="shared" si="216"/>
        <v>35054446.25</v>
      </c>
      <c r="D549" s="9"/>
      <c r="E549" s="87"/>
      <c r="F549" s="21"/>
      <c r="G549" s="12"/>
      <c r="H549" s="13"/>
      <c r="I549" s="13"/>
      <c r="J549" s="555"/>
      <c r="K549" s="103"/>
      <c r="L549" s="12"/>
      <c r="M549" s="22"/>
      <c r="N549" s="22"/>
      <c r="O549" s="22"/>
      <c r="P549" s="106">
        <v>14261231.300000001</v>
      </c>
      <c r="Q549" s="12"/>
      <c r="R549" s="9">
        <v>18896767.829999998</v>
      </c>
      <c r="S549" s="12"/>
      <c r="T549" s="109"/>
      <c r="U549" s="109"/>
      <c r="V549" s="3">
        <v>1657899.96</v>
      </c>
      <c r="W549" s="86">
        <f>497369.99-258822.83</f>
        <v>238547.16</v>
      </c>
      <c r="X549" s="21"/>
      <c r="Y549" s="21"/>
      <c r="Z549" s="24">
        <f>C549</f>
        <v>35054446.25</v>
      </c>
      <c r="AA549" s="21"/>
      <c r="AB549" s="24"/>
      <c r="AC549" s="18"/>
      <c r="AD549" s="18">
        <v>2024</v>
      </c>
      <c r="AE549" s="18">
        <v>2025</v>
      </c>
      <c r="AF549" s="25"/>
      <c r="AG549" s="91"/>
    </row>
    <row r="550" spans="1:33" s="26" customFormat="1" ht="24" customHeight="1">
      <c r="A550" s="18">
        <f t="shared" si="215"/>
        <v>131</v>
      </c>
      <c r="B550" s="61" t="s">
        <v>605</v>
      </c>
      <c r="C550" s="4">
        <f t="shared" ref="C550:C554" si="236">D550+F550+G550+H550+I550+K550+L550+M550+O550+P550+Q550+R550+S550+W550+V550+X550</f>
        <v>4015182.56</v>
      </c>
      <c r="D550" s="9">
        <v>2022705.56</v>
      </c>
      <c r="E550" s="87">
        <v>1</v>
      </c>
      <c r="F550" s="100">
        <v>1612809</v>
      </c>
      <c r="G550" s="12"/>
      <c r="H550" s="9"/>
      <c r="I550" s="13"/>
      <c r="J550" s="555"/>
      <c r="K550" s="102"/>
      <c r="L550" s="12"/>
      <c r="M550" s="22"/>
      <c r="N550" s="22"/>
      <c r="O550" s="22"/>
      <c r="P550" s="21"/>
      <c r="Q550" s="9"/>
      <c r="R550" s="21"/>
      <c r="S550" s="12"/>
      <c r="T550" s="109"/>
      <c r="U550" s="109"/>
      <c r="V550" s="101">
        <f>224000+101135.28</f>
        <v>325135.28000000003</v>
      </c>
      <c r="W550" s="86">
        <f>24192.14+30340.58</f>
        <v>54532.72</v>
      </c>
      <c r="X550" s="21"/>
      <c r="Y550" s="21"/>
      <c r="Z550" s="24"/>
      <c r="AA550" s="21"/>
      <c r="AB550" s="24">
        <f>C550</f>
        <v>4015182.56</v>
      </c>
      <c r="AC550" s="18"/>
      <c r="AD550" s="18">
        <v>2024</v>
      </c>
      <c r="AE550" s="18">
        <v>2025</v>
      </c>
      <c r="AF550" s="25"/>
      <c r="AG550" s="91"/>
    </row>
    <row r="551" spans="1:33" s="26" customFormat="1" ht="24" customHeight="1">
      <c r="A551" s="18">
        <f t="shared" si="215"/>
        <v>132</v>
      </c>
      <c r="B551" s="61" t="s">
        <v>606</v>
      </c>
      <c r="C551" s="4">
        <f t="shared" si="236"/>
        <v>2691037.4</v>
      </c>
      <c r="D551" s="9">
        <v>2526795.6800000002</v>
      </c>
      <c r="E551" s="87"/>
      <c r="F551" s="100"/>
      <c r="G551" s="12"/>
      <c r="H551" s="9"/>
      <c r="I551" s="13"/>
      <c r="J551" s="555"/>
      <c r="K551" s="102"/>
      <c r="L551" s="12"/>
      <c r="M551" s="22"/>
      <c r="N551" s="22"/>
      <c r="O551" s="22"/>
      <c r="P551" s="21"/>
      <c r="Q551" s="9"/>
      <c r="R551" s="21"/>
      <c r="S551" s="12"/>
      <c r="T551" s="109"/>
      <c r="U551" s="109"/>
      <c r="V551" s="101">
        <v>126339.78</v>
      </c>
      <c r="W551" s="86">
        <v>37901.94</v>
      </c>
      <c r="X551" s="21"/>
      <c r="Y551" s="21"/>
      <c r="Z551" s="24"/>
      <c r="AA551" s="21"/>
      <c r="AB551" s="24">
        <f>C551</f>
        <v>2691037.4</v>
      </c>
      <c r="AC551" s="18"/>
      <c r="AD551" s="18">
        <v>2024</v>
      </c>
      <c r="AE551" s="18">
        <v>2025</v>
      </c>
      <c r="AF551" s="25"/>
      <c r="AG551" s="91"/>
    </row>
    <row r="552" spans="1:33" s="26" customFormat="1" ht="24" customHeight="1">
      <c r="A552" s="18">
        <f t="shared" si="215"/>
        <v>133</v>
      </c>
      <c r="B552" s="150" t="s">
        <v>607</v>
      </c>
      <c r="C552" s="115">
        <f t="shared" si="236"/>
        <v>1722184.24</v>
      </c>
      <c r="D552" s="108">
        <v>1617074.4</v>
      </c>
      <c r="E552" s="124"/>
      <c r="F552" s="131"/>
      <c r="G552" s="109"/>
      <c r="H552" s="108"/>
      <c r="I552" s="110"/>
      <c r="J552" s="559"/>
      <c r="K552" s="102"/>
      <c r="L552" s="109"/>
      <c r="M552" s="113"/>
      <c r="N552" s="113"/>
      <c r="O552" s="113"/>
      <c r="P552" s="107"/>
      <c r="Q552" s="108"/>
      <c r="R552" s="107"/>
      <c r="S552" s="109"/>
      <c r="T552" s="109"/>
      <c r="U552" s="109"/>
      <c r="V552" s="132">
        <v>80853.72</v>
      </c>
      <c r="W552" s="814">
        <v>24256.12</v>
      </c>
      <c r="X552" s="107"/>
      <c r="Y552" s="107"/>
      <c r="Z552" s="111"/>
      <c r="AA552" s="107"/>
      <c r="AB552" s="111">
        <f>C552</f>
        <v>1722184.24</v>
      </c>
      <c r="AC552" s="112"/>
      <c r="AD552" s="112">
        <v>2024</v>
      </c>
      <c r="AE552" s="112">
        <v>2025</v>
      </c>
      <c r="AF552" s="25"/>
      <c r="AG552" s="91"/>
    </row>
    <row r="553" spans="1:33" s="26" customFormat="1" ht="24" customHeight="1">
      <c r="A553" s="18">
        <f t="shared" si="215"/>
        <v>134</v>
      </c>
      <c r="B553" s="61" t="s">
        <v>608</v>
      </c>
      <c r="C553" s="115">
        <f t="shared" si="236"/>
        <v>2126523.84</v>
      </c>
      <c r="D553" s="108">
        <v>1996736</v>
      </c>
      <c r="E553" s="124"/>
      <c r="F553" s="131"/>
      <c r="G553" s="109"/>
      <c r="H553" s="108"/>
      <c r="I553" s="110"/>
      <c r="J553" s="559"/>
      <c r="K553" s="102"/>
      <c r="L553" s="109"/>
      <c r="M553" s="113"/>
      <c r="N553" s="113"/>
      <c r="O553" s="113"/>
      <c r="P553" s="107"/>
      <c r="Q553" s="108"/>
      <c r="R553" s="107"/>
      <c r="S553" s="109"/>
      <c r="T553" s="109"/>
      <c r="U553" s="109"/>
      <c r="V553" s="132">
        <v>99836.800000000003</v>
      </c>
      <c r="W553" s="814">
        <v>29951.040000000001</v>
      </c>
      <c r="X553" s="107"/>
      <c r="Y553" s="107"/>
      <c r="Z553" s="111"/>
      <c r="AA553" s="107"/>
      <c r="AB553" s="111">
        <f>C553</f>
        <v>2126523.84</v>
      </c>
      <c r="AC553" s="112"/>
      <c r="AD553" s="112">
        <v>2024</v>
      </c>
      <c r="AE553" s="112">
        <v>2025</v>
      </c>
      <c r="AF553" s="25"/>
      <c r="AG553" s="91"/>
    </row>
    <row r="554" spans="1:33" s="26" customFormat="1" ht="24" customHeight="1">
      <c r="A554" s="319">
        <f t="shared" ref="A554" si="237">A553+1</f>
        <v>135</v>
      </c>
      <c r="B554" s="328" t="s">
        <v>349</v>
      </c>
      <c r="C554" s="321">
        <f t="shared" si="236"/>
        <v>1636880.18</v>
      </c>
      <c r="D554" s="322"/>
      <c r="E554" s="830">
        <v>1</v>
      </c>
      <c r="F554" s="349">
        <v>1612809</v>
      </c>
      <c r="G554" s="323"/>
      <c r="H554" s="322"/>
      <c r="I554" s="348"/>
      <c r="J554" s="539"/>
      <c r="K554" s="102"/>
      <c r="L554" s="323"/>
      <c r="M554" s="325"/>
      <c r="N554" s="325"/>
      <c r="O554" s="325"/>
      <c r="P554" s="330"/>
      <c r="Q554" s="322"/>
      <c r="R554" s="330"/>
      <c r="S554" s="323"/>
      <c r="T554" s="323"/>
      <c r="U554" s="323"/>
      <c r="V554" s="355"/>
      <c r="W554" s="346">
        <v>24071.18</v>
      </c>
      <c r="X554" s="330"/>
      <c r="Y554" s="330"/>
      <c r="Z554" s="339">
        <f>C554</f>
        <v>1636880.18</v>
      </c>
      <c r="AA554" s="330"/>
      <c r="AB554" s="339"/>
      <c r="AC554" s="319"/>
      <c r="AD554" s="319">
        <v>2024</v>
      </c>
      <c r="AE554" s="319">
        <v>2025</v>
      </c>
      <c r="AF554" s="91"/>
      <c r="AG554" s="91"/>
    </row>
    <row r="555" spans="1:33" s="26" customFormat="1" ht="24" customHeight="1">
      <c r="A555" s="18">
        <f t="shared" ref="A555:A562" si="238">A554+1</f>
        <v>136</v>
      </c>
      <c r="B555" s="61" t="s">
        <v>470</v>
      </c>
      <c r="C555" s="4">
        <f t="shared" si="216"/>
        <v>1176543.06</v>
      </c>
      <c r="D555" s="9"/>
      <c r="E555" s="87">
        <v>1</v>
      </c>
      <c r="F555" s="175">
        <v>1016069.39</v>
      </c>
      <c r="G555" s="12"/>
      <c r="H555" s="9"/>
      <c r="I555" s="13"/>
      <c r="J555" s="555"/>
      <c r="K555" s="102"/>
      <c r="L555" s="12"/>
      <c r="M555" s="22"/>
      <c r="N555" s="22"/>
      <c r="O555" s="22"/>
      <c r="P555" s="21"/>
      <c r="Q555" s="9"/>
      <c r="R555" s="21"/>
      <c r="S555" s="12"/>
      <c r="T555" s="109"/>
      <c r="U555" s="109"/>
      <c r="V555" s="175">
        <v>141119.96</v>
      </c>
      <c r="W555" s="175">
        <v>19353.71</v>
      </c>
      <c r="X555" s="21"/>
      <c r="Y555" s="21"/>
      <c r="Z555" s="24">
        <f>C555</f>
        <v>1176543.06</v>
      </c>
      <c r="AA555" s="21"/>
      <c r="AB555" s="24"/>
      <c r="AC555" s="18"/>
      <c r="AD555" s="18">
        <v>2024</v>
      </c>
      <c r="AE555" s="18">
        <v>2024</v>
      </c>
      <c r="AF555" s="25"/>
      <c r="AG555" s="91"/>
    </row>
    <row r="556" spans="1:33" s="26" customFormat="1" ht="24" customHeight="1">
      <c r="A556" s="18">
        <f t="shared" si="238"/>
        <v>137</v>
      </c>
      <c r="B556" s="61" t="s">
        <v>80</v>
      </c>
      <c r="C556" s="4">
        <f t="shared" si="216"/>
        <v>3326895.14</v>
      </c>
      <c r="D556" s="9"/>
      <c r="E556" s="87"/>
      <c r="F556" s="21"/>
      <c r="G556" s="12"/>
      <c r="H556" s="13"/>
      <c r="I556" s="13"/>
      <c r="J556" s="555"/>
      <c r="K556" s="9"/>
      <c r="L556" s="12"/>
      <c r="M556" s="22"/>
      <c r="N556" s="22"/>
      <c r="O556" s="22"/>
      <c r="P556" s="22"/>
      <c r="Q556" s="12"/>
      <c r="R556" s="9"/>
      <c r="S556" s="9">
        <v>2961489.9</v>
      </c>
      <c r="T556" s="108"/>
      <c r="U556" s="108"/>
      <c r="V556" s="3">
        <v>320982.89</v>
      </c>
      <c r="W556" s="86">
        <f t="shared" si="214"/>
        <v>44422.35</v>
      </c>
      <c r="X556" s="21"/>
      <c r="Y556" s="21"/>
      <c r="Z556" s="21"/>
      <c r="AA556" s="21"/>
      <c r="AB556" s="24">
        <f t="shared" si="217"/>
        <v>3326895.14</v>
      </c>
      <c r="AC556" s="18"/>
      <c r="AD556" s="18">
        <v>2024</v>
      </c>
      <c r="AE556" s="18">
        <v>2024</v>
      </c>
      <c r="AF556" s="25"/>
      <c r="AG556" s="91"/>
    </row>
    <row r="557" spans="1:33" s="26" customFormat="1" ht="24" customHeight="1">
      <c r="A557" s="18">
        <f t="shared" si="238"/>
        <v>138</v>
      </c>
      <c r="B557" s="61" t="s">
        <v>618</v>
      </c>
      <c r="C557" s="4">
        <f t="shared" ref="C557" si="239">D557+F557+G557+H557+I557+K557+L557+M557+O557+P557+Q557+R557+S557+W557+V557+X557</f>
        <v>1861001.14</v>
      </c>
      <c r="D557" s="9"/>
      <c r="E557" s="87">
        <v>1</v>
      </c>
      <c r="F557" s="100">
        <v>1612809</v>
      </c>
      <c r="G557" s="12"/>
      <c r="H557" s="9"/>
      <c r="I557" s="13"/>
      <c r="J557" s="555"/>
      <c r="K557" s="102"/>
      <c r="L557" s="12"/>
      <c r="M557" s="22"/>
      <c r="N557" s="22"/>
      <c r="O557" s="22"/>
      <c r="P557" s="21"/>
      <c r="Q557" s="9"/>
      <c r="R557" s="21"/>
      <c r="S557" s="12"/>
      <c r="T557" s="109"/>
      <c r="U557" s="109"/>
      <c r="V557" s="101">
        <v>224000</v>
      </c>
      <c r="W557" s="86">
        <v>24192.14</v>
      </c>
      <c r="X557" s="21"/>
      <c r="Y557" s="21"/>
      <c r="Z557" s="24"/>
      <c r="AA557" s="21"/>
      <c r="AB557" s="24">
        <f t="shared" si="217"/>
        <v>1861001.14</v>
      </c>
      <c r="AC557" s="18"/>
      <c r="AD557" s="18">
        <v>2024</v>
      </c>
      <c r="AE557" s="18">
        <v>2025</v>
      </c>
      <c r="AF557" s="25"/>
      <c r="AG557" s="91"/>
    </row>
    <row r="558" spans="1:33" s="26" customFormat="1" ht="24" customHeight="1">
      <c r="A558" s="18">
        <f t="shared" si="238"/>
        <v>139</v>
      </c>
      <c r="B558" s="20" t="s">
        <v>613</v>
      </c>
      <c r="C558" s="4">
        <f t="shared" si="216"/>
        <v>7472359.3700000001</v>
      </c>
      <c r="D558" s="108"/>
      <c r="E558" s="124"/>
      <c r="F558" s="107"/>
      <c r="G558" s="109"/>
      <c r="H558" s="110"/>
      <c r="I558" s="110"/>
      <c r="J558" s="559"/>
      <c r="K558" s="108"/>
      <c r="L558" s="109"/>
      <c r="M558" s="113"/>
      <c r="N558" s="113"/>
      <c r="O558" s="113"/>
      <c r="P558" s="117">
        <v>7016299.8799999999</v>
      </c>
      <c r="Q558" s="109"/>
      <c r="R558" s="108"/>
      <c r="S558" s="108"/>
      <c r="T558" s="108"/>
      <c r="U558" s="108"/>
      <c r="V558" s="116">
        <v>350814.99</v>
      </c>
      <c r="W558" s="814">
        <v>105244.5</v>
      </c>
      <c r="X558" s="107"/>
      <c r="Y558" s="107"/>
      <c r="Z558" s="107"/>
      <c r="AA558" s="107"/>
      <c r="AB558" s="24">
        <f t="shared" si="217"/>
        <v>7472359.3700000001</v>
      </c>
      <c r="AC558" s="112"/>
      <c r="AD558" s="112">
        <v>2024</v>
      </c>
      <c r="AE558" s="112">
        <v>2025</v>
      </c>
      <c r="AF558" s="25"/>
      <c r="AG558" s="91"/>
    </row>
    <row r="559" spans="1:33" s="26" customFormat="1" ht="24" customHeight="1">
      <c r="A559" s="18">
        <f t="shared" si="238"/>
        <v>140</v>
      </c>
      <c r="B559" s="20" t="s">
        <v>619</v>
      </c>
      <c r="C559" s="4">
        <f t="shared" si="216"/>
        <v>1861001.14</v>
      </c>
      <c r="D559" s="9"/>
      <c r="E559" s="87">
        <v>1</v>
      </c>
      <c r="F559" s="100">
        <v>1612809</v>
      </c>
      <c r="G559" s="12"/>
      <c r="H559" s="9"/>
      <c r="I559" s="13"/>
      <c r="J559" s="555"/>
      <c r="K559" s="102"/>
      <c r="L559" s="12"/>
      <c r="M559" s="22"/>
      <c r="N559" s="22"/>
      <c r="O559" s="22"/>
      <c r="P559" s="21"/>
      <c r="Q559" s="9"/>
      <c r="R559" s="21"/>
      <c r="S559" s="12"/>
      <c r="T559" s="109"/>
      <c r="U559" s="109"/>
      <c r="V559" s="101">
        <v>224000</v>
      </c>
      <c r="W559" s="86">
        <v>24192.14</v>
      </c>
      <c r="X559" s="21"/>
      <c r="Y559" s="21"/>
      <c r="Z559" s="24"/>
      <c r="AA559" s="21"/>
      <c r="AB559" s="24">
        <f t="shared" si="217"/>
        <v>1861001.14</v>
      </c>
      <c r="AC559" s="18"/>
      <c r="AD559" s="18">
        <v>2024</v>
      </c>
      <c r="AE559" s="18">
        <v>2025</v>
      </c>
      <c r="AF559" s="25"/>
      <c r="AG559" s="91"/>
    </row>
    <row r="560" spans="1:33" s="26" customFormat="1" ht="24" customHeight="1">
      <c r="A560" s="18">
        <f t="shared" si="238"/>
        <v>141</v>
      </c>
      <c r="B560" s="20" t="s">
        <v>625</v>
      </c>
      <c r="C560" s="4">
        <f t="shared" si="216"/>
        <v>3618969.05</v>
      </c>
      <c r="D560" s="9"/>
      <c r="E560" s="87"/>
      <c r="F560" s="100"/>
      <c r="G560" s="12"/>
      <c r="H560" s="9"/>
      <c r="I560" s="13"/>
      <c r="J560" s="555"/>
      <c r="K560" s="102"/>
      <c r="L560" s="12"/>
      <c r="M560" s="22"/>
      <c r="N560" s="22">
        <v>1</v>
      </c>
      <c r="O560" s="46">
        <v>3398093</v>
      </c>
      <c r="P560" s="22"/>
      <c r="Q560" s="12"/>
      <c r="R560" s="21"/>
      <c r="S560" s="12"/>
      <c r="T560" s="109"/>
      <c r="U560" s="109"/>
      <c r="V560" s="101">
        <v>169904.65</v>
      </c>
      <c r="W560" s="86">
        <v>50971.4</v>
      </c>
      <c r="X560" s="21"/>
      <c r="Y560" s="21"/>
      <c r="Z560" s="24"/>
      <c r="AA560" s="21"/>
      <c r="AB560" s="24">
        <f>C560</f>
        <v>3618969.05</v>
      </c>
      <c r="AC560" s="18"/>
      <c r="AD560" s="18">
        <v>2024</v>
      </c>
      <c r="AE560" s="18">
        <v>2025</v>
      </c>
      <c r="AF560" s="25"/>
      <c r="AG560" s="91"/>
    </row>
    <row r="561" spans="1:33" s="26" customFormat="1" ht="24" customHeight="1">
      <c r="A561" s="18">
        <f t="shared" si="238"/>
        <v>142</v>
      </c>
      <c r="B561" s="20" t="s">
        <v>612</v>
      </c>
      <c r="C561" s="4">
        <f t="shared" si="216"/>
        <v>2785145.4</v>
      </c>
      <c r="D561" s="108"/>
      <c r="E561" s="124"/>
      <c r="F561" s="107"/>
      <c r="G561" s="109"/>
      <c r="H561" s="110"/>
      <c r="I561" s="110"/>
      <c r="J561" s="559"/>
      <c r="K561" s="108"/>
      <c r="L561" s="109"/>
      <c r="M561" s="117">
        <v>2615160</v>
      </c>
      <c r="N561" s="113"/>
      <c r="O561" s="113"/>
      <c r="P561" s="113"/>
      <c r="Q561" s="109"/>
      <c r="R561" s="108"/>
      <c r="S561" s="108"/>
      <c r="T561" s="108"/>
      <c r="U561" s="108"/>
      <c r="V561" s="116">
        <v>130758</v>
      </c>
      <c r="W561" s="814">
        <v>39227.4</v>
      </c>
      <c r="X561" s="107"/>
      <c r="Y561" s="107"/>
      <c r="Z561" s="107"/>
      <c r="AA561" s="107"/>
      <c r="AB561" s="111">
        <f>C561</f>
        <v>2785145.4</v>
      </c>
      <c r="AC561" s="112"/>
      <c r="AD561" s="112">
        <v>2024</v>
      </c>
      <c r="AE561" s="112">
        <v>2025</v>
      </c>
      <c r="AF561" s="25"/>
      <c r="AG561" s="91"/>
    </row>
    <row r="562" spans="1:33" s="26" customFormat="1" ht="24" customHeight="1">
      <c r="A562" s="319">
        <f t="shared" si="238"/>
        <v>143</v>
      </c>
      <c r="B562" s="328" t="s">
        <v>82</v>
      </c>
      <c r="C562" s="321">
        <f>D562+F562+G562+H562+I562+K562+L562+M562+O562+P562+Q562+R562+S562+W562+V562+X562</f>
        <v>32553030.140000001</v>
      </c>
      <c r="D562" s="322"/>
      <c r="E562" s="830"/>
      <c r="F562" s="330"/>
      <c r="G562" s="323"/>
      <c r="H562" s="348"/>
      <c r="I562" s="348"/>
      <c r="J562" s="539"/>
      <c r="K562" s="358"/>
      <c r="L562" s="323"/>
      <c r="M562" s="325"/>
      <c r="N562" s="325"/>
      <c r="O562" s="325"/>
      <c r="P562" s="323">
        <v>30092900.079999998</v>
      </c>
      <c r="Q562" s="323"/>
      <c r="R562" s="322"/>
      <c r="S562" s="322"/>
      <c r="T562" s="322"/>
      <c r="U562" s="322"/>
      <c r="V562" s="331">
        <v>2151269.27</v>
      </c>
      <c r="W562" s="354">
        <v>308860.78999999998</v>
      </c>
      <c r="X562" s="330"/>
      <c r="Y562" s="330"/>
      <c r="Z562" s="339">
        <f>C562</f>
        <v>32553030.140000001</v>
      </c>
      <c r="AA562" s="330"/>
      <c r="AB562" s="339">
        <f>C562-Z562</f>
        <v>0</v>
      </c>
      <c r="AC562" s="319"/>
      <c r="AD562" s="319">
        <v>2022</v>
      </c>
      <c r="AE562" s="319">
        <v>2024</v>
      </c>
      <c r="AF562" s="91"/>
      <c r="AG562" s="91"/>
    </row>
    <row r="563" spans="1:33" s="26" customFormat="1" ht="24" customHeight="1">
      <c r="A563" s="18">
        <f t="shared" ref="A563:A624" si="240">A562+1</f>
        <v>144</v>
      </c>
      <c r="B563" s="20" t="s">
        <v>83</v>
      </c>
      <c r="C563" s="4">
        <f>D563+F563+G563+H563+I563+K563+L563+M563+O563+P563+Q563+R563+S563+W563+V563+X563</f>
        <v>24947685.510000002</v>
      </c>
      <c r="D563" s="9"/>
      <c r="E563" s="87"/>
      <c r="F563" s="21"/>
      <c r="G563" s="12"/>
      <c r="H563" s="13"/>
      <c r="I563" s="13"/>
      <c r="J563" s="555"/>
      <c r="K563" s="11"/>
      <c r="L563" s="12"/>
      <c r="M563" s="22"/>
      <c r="N563" s="22"/>
      <c r="O563" s="22"/>
      <c r="P563" s="12">
        <v>23111478.530000001</v>
      </c>
      <c r="Q563" s="12"/>
      <c r="R563" s="9"/>
      <c r="S563" s="9"/>
      <c r="T563" s="108"/>
      <c r="U563" s="108"/>
      <c r="V563" s="3">
        <v>1617803.5</v>
      </c>
      <c r="W563" s="600">
        <v>218403.48</v>
      </c>
      <c r="X563" s="21"/>
      <c r="Y563" s="21"/>
      <c r="Z563" s="24">
        <f>C563</f>
        <v>24947685.510000002</v>
      </c>
      <c r="AA563" s="21"/>
      <c r="AB563" s="24">
        <f>C563-Z563</f>
        <v>0</v>
      </c>
      <c r="AC563" s="18"/>
      <c r="AD563" s="18">
        <v>2022</v>
      </c>
      <c r="AE563" s="18">
        <v>2024</v>
      </c>
      <c r="AF563" s="25"/>
      <c r="AG563" s="91"/>
    </row>
    <row r="564" spans="1:33" s="26" customFormat="1" ht="24" customHeight="1">
      <c r="A564" s="585">
        <f t="shared" si="240"/>
        <v>145</v>
      </c>
      <c r="B564" s="586" t="s">
        <v>89</v>
      </c>
      <c r="C564" s="587">
        <f t="shared" ref="C564" si="241">D564+F564+G564+H564+I564+K564+L564+M564+O564+P564+Q564+R564+S564+W564+V564+X564</f>
        <v>135012810.78</v>
      </c>
      <c r="D564" s="580"/>
      <c r="E564" s="831"/>
      <c r="F564" s="581"/>
      <c r="G564" s="578"/>
      <c r="H564" s="582"/>
      <c r="I564" s="582">
        <v>33862775.850000001</v>
      </c>
      <c r="J564" s="585"/>
      <c r="K564" s="635"/>
      <c r="L564" s="578">
        <v>10342148.08</v>
      </c>
      <c r="M564" s="578">
        <f>3077341.98+7025434.02</f>
        <v>10102776</v>
      </c>
      <c r="N564" s="579"/>
      <c r="O564" s="579"/>
      <c r="P564" s="578">
        <v>41037840.18</v>
      </c>
      <c r="Q564" s="578">
        <v>7884078.9699999997</v>
      </c>
      <c r="R564" s="580"/>
      <c r="S564" s="580">
        <v>23248945.010000002</v>
      </c>
      <c r="T564" s="580"/>
      <c r="U564" s="580"/>
      <c r="V564" s="583">
        <f>440935.59+2210246.2+1480709.46+921633.75+1986559.81</f>
        <v>7040084.8099999996</v>
      </c>
      <c r="W564" s="838">
        <f>46160.13+261285.3+663073.86+118261.18+348734.18</f>
        <v>1437514.65</v>
      </c>
      <c r="X564" s="580">
        <v>56647.23</v>
      </c>
      <c r="Y564" s="581"/>
      <c r="Z564" s="580">
        <f>17152623.07+P564+1986559.81+261285.3+56647.23</f>
        <v>60494955.590000004</v>
      </c>
      <c r="AA564" s="581"/>
      <c r="AB564" s="584">
        <f>C564-Z564</f>
        <v>74517855.189999998</v>
      </c>
      <c r="AC564" s="585"/>
      <c r="AD564" s="585" t="s">
        <v>339</v>
      </c>
      <c r="AE564" s="585">
        <v>2025</v>
      </c>
      <c r="AF564" s="91"/>
      <c r="AG564" s="91"/>
    </row>
    <row r="565" spans="1:33" s="26" customFormat="1" ht="24" customHeight="1">
      <c r="A565" s="18">
        <f t="shared" si="240"/>
        <v>146</v>
      </c>
      <c r="B565" s="20" t="s">
        <v>337</v>
      </c>
      <c r="C565" s="4">
        <f t="shared" ref="C565" si="242">D565+F565+G565+H565+I565+K565+L565+M565+O565+P565+Q565+R565+S565+W565+V565+X565</f>
        <v>1861001.14</v>
      </c>
      <c r="D565" s="9"/>
      <c r="E565" s="87">
        <v>1</v>
      </c>
      <c r="F565" s="100">
        <v>1612809</v>
      </c>
      <c r="G565" s="12"/>
      <c r="H565" s="9"/>
      <c r="I565" s="13"/>
      <c r="J565" s="555"/>
      <c r="K565" s="102"/>
      <c r="L565" s="12"/>
      <c r="M565" s="22"/>
      <c r="N565" s="22"/>
      <c r="O565" s="22"/>
      <c r="P565" s="21"/>
      <c r="Q565" s="9"/>
      <c r="R565" s="21"/>
      <c r="S565" s="12"/>
      <c r="T565" s="109"/>
      <c r="U565" s="109"/>
      <c r="V565" s="101">
        <v>224000</v>
      </c>
      <c r="W565" s="86">
        <v>24192.14</v>
      </c>
      <c r="X565" s="21"/>
      <c r="Y565" s="21"/>
      <c r="Z565" s="24"/>
      <c r="AA565" s="21"/>
      <c r="AB565" s="24">
        <f>C565</f>
        <v>1861001.14</v>
      </c>
      <c r="AC565" s="18"/>
      <c r="AD565" s="18">
        <v>2024</v>
      </c>
      <c r="AE565" s="18">
        <v>2025</v>
      </c>
      <c r="AF565" s="25"/>
      <c r="AG565" s="91"/>
    </row>
    <row r="566" spans="1:33" s="26" customFormat="1" ht="24" customHeight="1">
      <c r="A566" s="585">
        <f t="shared" si="240"/>
        <v>147</v>
      </c>
      <c r="B566" s="586" t="s">
        <v>93</v>
      </c>
      <c r="C566" s="587">
        <f>D566+F566+G566+H566+I566+K566+L566+M566+O566+P566+Q566+R566+S566+W566+V566+X566</f>
        <v>3769886.06</v>
      </c>
      <c r="D566" s="580"/>
      <c r="E566" s="831"/>
      <c r="F566" s="581"/>
      <c r="G566" s="578"/>
      <c r="H566" s="582"/>
      <c r="I566" s="582"/>
      <c r="J566" s="585"/>
      <c r="K566" s="635"/>
      <c r="L566" s="578"/>
      <c r="M566" s="578">
        <f>945017.45+2157432.55</f>
        <v>3102450</v>
      </c>
      <c r="N566" s="579"/>
      <c r="O566" s="579"/>
      <c r="P566" s="579"/>
      <c r="Q566" s="578"/>
      <c r="R566" s="580"/>
      <c r="S566" s="580"/>
      <c r="T566" s="580"/>
      <c r="U566" s="580"/>
      <c r="V566" s="583">
        <v>653260.80000000005</v>
      </c>
      <c r="W566" s="838">
        <v>14175.26</v>
      </c>
      <c r="X566" s="581"/>
      <c r="Y566" s="581"/>
      <c r="Z566" s="581"/>
      <c r="AA566" s="581"/>
      <c r="AB566" s="584">
        <f>C566</f>
        <v>3769886.06</v>
      </c>
      <c r="AC566" s="585"/>
      <c r="AD566" s="585">
        <v>2023</v>
      </c>
      <c r="AE566" s="585">
        <v>2025</v>
      </c>
      <c r="AF566" s="91"/>
      <c r="AG566" s="91"/>
    </row>
    <row r="567" spans="1:33" s="26" customFormat="1" ht="24" customHeight="1">
      <c r="A567" s="319">
        <f t="shared" si="240"/>
        <v>148</v>
      </c>
      <c r="B567" s="328" t="s">
        <v>94</v>
      </c>
      <c r="C567" s="321">
        <f t="shared" ref="C567:C572" si="243">D567+F567+G567+H567+I567+K567+L567+M567+O567+P567+Q567+R567+S567+W567+V567+X567</f>
        <v>34149406.170000002</v>
      </c>
      <c r="D567" s="322"/>
      <c r="E567" s="830"/>
      <c r="F567" s="330"/>
      <c r="G567" s="323"/>
      <c r="H567" s="359"/>
      <c r="I567" s="348"/>
      <c r="J567" s="539"/>
      <c r="K567" s="358"/>
      <c r="L567" s="323"/>
      <c r="M567" s="325"/>
      <c r="N567" s="325"/>
      <c r="O567" s="360"/>
      <c r="P567" s="323"/>
      <c r="Q567" s="361">
        <v>8135112.4199999999</v>
      </c>
      <c r="R567" s="322"/>
      <c r="S567" s="322">
        <v>23989204.329999998</v>
      </c>
      <c r="T567" s="322"/>
      <c r="U567" s="322"/>
      <c r="V567" s="331">
        <f>543109.87+1000114.8</f>
        <v>1543224.67</v>
      </c>
      <c r="W567" s="354">
        <f>122026.69+359838.06</f>
        <v>481864.75</v>
      </c>
      <c r="X567" s="322"/>
      <c r="Y567" s="330"/>
      <c r="Z567" s="322">
        <v>16197659.75</v>
      </c>
      <c r="AA567" s="330"/>
      <c r="AB567" s="339">
        <f>C567-Z567</f>
        <v>17951746.420000002</v>
      </c>
      <c r="AC567" s="319"/>
      <c r="AD567" s="319" t="s">
        <v>467</v>
      </c>
      <c r="AE567" s="319">
        <v>2025</v>
      </c>
      <c r="AF567" s="91"/>
      <c r="AG567" s="91"/>
    </row>
    <row r="568" spans="1:33" s="26" customFormat="1" ht="24" customHeight="1">
      <c r="A568" s="319">
        <f t="shared" si="240"/>
        <v>149</v>
      </c>
      <c r="B568" s="353" t="s">
        <v>206</v>
      </c>
      <c r="C568" s="321">
        <f>D568+F568+G568+H568+I568+K568+L568+M568+O568+P568+Q568+R568+S568+W568+V568+X568</f>
        <v>45015293.329999998</v>
      </c>
      <c r="D568" s="322">
        <f>ROUND(1927.2*660.21,2)</f>
        <v>1272356.71</v>
      </c>
      <c r="E568" s="830"/>
      <c r="F568" s="330"/>
      <c r="G568" s="323">
        <f>ROUND(1927.2*620.83,2)</f>
        <v>1196463.58</v>
      </c>
      <c r="H568" s="348">
        <f>ROUND(1927.2*665.62,2)</f>
        <v>1282782.8600000001</v>
      </c>
      <c r="I568" s="348">
        <f>ROUND(1927.2*3990.81,2)</f>
        <v>7691089.0300000003</v>
      </c>
      <c r="J568" s="539"/>
      <c r="K568" s="225"/>
      <c r="L568" s="182">
        <f>ROUND(1927.2*616.25,2)</f>
        <v>1187637</v>
      </c>
      <c r="M568" s="185"/>
      <c r="N568" s="185"/>
      <c r="O568" s="185"/>
      <c r="P568" s="306">
        <v>17074072.870000001</v>
      </c>
      <c r="Q568" s="182"/>
      <c r="R568" s="228">
        <v>13724068.32</v>
      </c>
      <c r="S568" s="228"/>
      <c r="T568" s="228"/>
      <c r="U568" s="228"/>
      <c r="V568" s="236">
        <f>977536.8+284887.96</f>
        <v>1262424.76</v>
      </c>
      <c r="W568" s="309">
        <f>189454.94+91010.54</f>
        <v>280465.48</v>
      </c>
      <c r="X568" s="306">
        <v>43932.72</v>
      </c>
      <c r="Y568" s="229"/>
      <c r="Z568" s="238">
        <v>31217972.41</v>
      </c>
      <c r="AA568" s="229"/>
      <c r="AB568" s="230">
        <f>C568-Z568</f>
        <v>13797320.92</v>
      </c>
      <c r="AC568" s="231"/>
      <c r="AD568" s="231">
        <v>2024</v>
      </c>
      <c r="AE568" s="231">
        <v>2025</v>
      </c>
      <c r="AF568" s="91"/>
      <c r="AG568" s="91"/>
    </row>
    <row r="569" spans="1:33" s="26" customFormat="1" ht="24" customHeight="1">
      <c r="A569" s="231">
        <f t="shared" si="240"/>
        <v>150</v>
      </c>
      <c r="B569" s="235" t="s">
        <v>207</v>
      </c>
      <c r="C569" s="232">
        <f t="shared" si="243"/>
        <v>56433480.810000002</v>
      </c>
      <c r="D569" s="228">
        <f>ROUND(2804.5*589.88,2)</f>
        <v>1654318.46</v>
      </c>
      <c r="E569" s="257"/>
      <c r="F569" s="233"/>
      <c r="G569" s="182">
        <f>ROUND(2804.5*596.38,2)</f>
        <v>1672547.71</v>
      </c>
      <c r="H569" s="234">
        <f>ROUND(2804.5*1074.75,2)</f>
        <v>3014136.38</v>
      </c>
      <c r="I569" s="234">
        <f>ROUND(2804.5*871.5,2)</f>
        <v>2444121.75</v>
      </c>
      <c r="J569" s="560"/>
      <c r="K569" s="225"/>
      <c r="L569" s="182">
        <f>ROUND(2804.5*616.25,2)</f>
        <v>1728273.13</v>
      </c>
      <c r="M569" s="185"/>
      <c r="N569" s="185"/>
      <c r="O569" s="185"/>
      <c r="P569" s="295">
        <v>25133860.719999999</v>
      </c>
      <c r="Q569" s="182"/>
      <c r="R569" s="228">
        <v>15495191.060000001</v>
      </c>
      <c r="S569" s="228">
        <f>ROUND(2804.5*1135.41,2)</f>
        <v>3184257.35</v>
      </c>
      <c r="T569" s="228"/>
      <c r="U569" s="228"/>
      <c r="V569" s="236">
        <f>1300579.2+415461.61</f>
        <v>1716040.81</v>
      </c>
      <c r="W569" s="309">
        <v>326664.89</v>
      </c>
      <c r="X569" s="230">
        <v>64068.55</v>
      </c>
      <c r="Y569" s="229"/>
      <c r="Z569" s="238">
        <v>41229782.009999998</v>
      </c>
      <c r="AA569" s="229"/>
      <c r="AB569" s="230">
        <f>C569-Z569</f>
        <v>15203698.800000001</v>
      </c>
      <c r="AC569" s="231"/>
      <c r="AD569" s="231">
        <v>2024</v>
      </c>
      <c r="AE569" s="231">
        <v>2025</v>
      </c>
      <c r="AF569" s="91"/>
      <c r="AG569" s="91"/>
    </row>
    <row r="570" spans="1:33" s="26" customFormat="1" ht="24" customHeight="1">
      <c r="A570" s="231">
        <f t="shared" si="240"/>
        <v>151</v>
      </c>
      <c r="B570" s="235" t="s">
        <v>208</v>
      </c>
      <c r="C570" s="232">
        <f t="shared" si="243"/>
        <v>65516860.509999998</v>
      </c>
      <c r="D570" s="228">
        <f>ROUND(3649.8*589.88,2)</f>
        <v>2152944.02</v>
      </c>
      <c r="E570" s="257">
        <v>1</v>
      </c>
      <c r="F570" s="233">
        <v>1197448.78</v>
      </c>
      <c r="G570" s="182">
        <f>ROUND(3649.8*596.38,2)</f>
        <v>2176667.7200000002</v>
      </c>
      <c r="H570" s="234">
        <f>ROUND(3649.8*1074.75,2)</f>
        <v>3922622.55</v>
      </c>
      <c r="I570" s="234">
        <f>ROUND(3649.8*871.5,2)</f>
        <v>3180800.7</v>
      </c>
      <c r="J570" s="560"/>
      <c r="K570" s="225"/>
      <c r="L570" s="182">
        <f>ROUND(3649.8*616.25,2)</f>
        <v>2249189.25</v>
      </c>
      <c r="M570" s="185"/>
      <c r="N570" s="185"/>
      <c r="O570" s="185"/>
      <c r="P570" s="295">
        <v>31525181.260000002</v>
      </c>
      <c r="Q570" s="182"/>
      <c r="R570" s="228">
        <v>16992022.739999998</v>
      </c>
      <c r="S570" s="228"/>
      <c r="T570" s="228"/>
      <c r="U570" s="228"/>
      <c r="V570" s="236">
        <f>1124644.8+539530.96</f>
        <v>1664175.76</v>
      </c>
      <c r="W570" s="309">
        <v>372606.38</v>
      </c>
      <c r="X570" s="306">
        <v>83201.350000000006</v>
      </c>
      <c r="Y570" s="229"/>
      <c r="Z570" s="238">
        <v>49289347.600000001</v>
      </c>
      <c r="AA570" s="229"/>
      <c r="AB570" s="230">
        <f>C570-Z570</f>
        <v>16227512.91</v>
      </c>
      <c r="AC570" s="231"/>
      <c r="AD570" s="231">
        <v>2024</v>
      </c>
      <c r="AE570" s="231">
        <v>2025</v>
      </c>
      <c r="AF570" s="91"/>
      <c r="AG570" s="91"/>
    </row>
    <row r="571" spans="1:33" s="26" customFormat="1" ht="24" customHeight="1">
      <c r="A571" s="231">
        <f t="shared" si="240"/>
        <v>152</v>
      </c>
      <c r="B571" s="235" t="s">
        <v>209</v>
      </c>
      <c r="C571" s="232">
        <f t="shared" si="243"/>
        <v>24880535.77</v>
      </c>
      <c r="D571" s="228">
        <f>ROUND(2767.5*660.21,2)</f>
        <v>1827131.18</v>
      </c>
      <c r="E571" s="257">
        <v>1</v>
      </c>
      <c r="F571" s="229">
        <v>1197448.78</v>
      </c>
      <c r="G571" s="182">
        <f>ROUND(2767.5*620.83,2)</f>
        <v>1718147.03</v>
      </c>
      <c r="H571" s="234">
        <f>ROUND(2767.5*665.62,2)</f>
        <v>1842103.35</v>
      </c>
      <c r="I571" s="234">
        <f>ROUND(2767.5*3990.81,2)</f>
        <v>11044566.68</v>
      </c>
      <c r="J571" s="560"/>
      <c r="K571" s="225"/>
      <c r="L571" s="182">
        <f>ROUND(2767.5*616.25,2)</f>
        <v>1705471.88</v>
      </c>
      <c r="M571" s="185"/>
      <c r="N571" s="185"/>
      <c r="O571" s="185"/>
      <c r="P571" s="185"/>
      <c r="Q571" s="182"/>
      <c r="R571" s="228"/>
      <c r="S571" s="228">
        <v>3142247.18</v>
      </c>
      <c r="T571" s="228"/>
      <c r="U571" s="228"/>
      <c r="V571" s="236">
        <v>2066262.95</v>
      </c>
      <c r="W571" s="309">
        <v>337156.74</v>
      </c>
      <c r="X571" s="229"/>
      <c r="Y571" s="229"/>
      <c r="Z571" s="229"/>
      <c r="AA571" s="229"/>
      <c r="AB571" s="230">
        <f t="shared" ref="AB571:AB572" si="244">C571</f>
        <v>24880535.77</v>
      </c>
      <c r="AC571" s="231"/>
      <c r="AD571" s="231">
        <v>2024</v>
      </c>
      <c r="AE571" s="231">
        <v>2025</v>
      </c>
      <c r="AF571" s="91"/>
      <c r="AG571" s="91"/>
    </row>
    <row r="572" spans="1:33" s="26" customFormat="1" ht="24" customHeight="1">
      <c r="A572" s="231">
        <f t="shared" si="240"/>
        <v>153</v>
      </c>
      <c r="B572" s="235" t="s">
        <v>210</v>
      </c>
      <c r="C572" s="232">
        <f t="shared" si="243"/>
        <v>63041812.409999996</v>
      </c>
      <c r="D572" s="228">
        <f>ROUND(10310.4*660.21,2)</f>
        <v>6807029.1799999997</v>
      </c>
      <c r="E572" s="257"/>
      <c r="F572" s="229"/>
      <c r="G572" s="182">
        <f>ROUND(10310.4*620.83,2)</f>
        <v>6401005.6299999999</v>
      </c>
      <c r="H572" s="234">
        <f>ROUND(10310.4*665.62,2)</f>
        <v>6862808.4500000002</v>
      </c>
      <c r="I572" s="234">
        <f>ROUND(10310.4*3201.73,2)</f>
        <v>33011116.989999998</v>
      </c>
      <c r="J572" s="560"/>
      <c r="K572" s="225"/>
      <c r="L572" s="182">
        <f>ROUND(10310.4*616.25,2)</f>
        <v>6353784</v>
      </c>
      <c r="M572" s="185"/>
      <c r="N572" s="185"/>
      <c r="O572" s="185"/>
      <c r="P572" s="185"/>
      <c r="Q572" s="182"/>
      <c r="R572" s="228"/>
      <c r="S572" s="228"/>
      <c r="T572" s="228"/>
      <c r="U572" s="228"/>
      <c r="V572" s="236">
        <v>2714532</v>
      </c>
      <c r="W572" s="309">
        <f t="shared" ref="W572" si="245">ROUND((D572+F572+G572+H572+I572+L572+M572+O572+P572+Q572+R572+S572)*1.5%,2)</f>
        <v>891536.16</v>
      </c>
      <c r="X572" s="229"/>
      <c r="Y572" s="229"/>
      <c r="Z572" s="229"/>
      <c r="AA572" s="229"/>
      <c r="AB572" s="230">
        <f t="shared" si="244"/>
        <v>63041812.409999996</v>
      </c>
      <c r="AC572" s="231"/>
      <c r="AD572" s="231">
        <v>2024</v>
      </c>
      <c r="AE572" s="231">
        <v>2025</v>
      </c>
      <c r="AF572" s="91"/>
      <c r="AG572" s="91"/>
    </row>
    <row r="573" spans="1:33" s="26" customFormat="1" ht="24" customHeight="1">
      <c r="A573" s="231">
        <f t="shared" si="240"/>
        <v>154</v>
      </c>
      <c r="B573" s="235" t="s">
        <v>211</v>
      </c>
      <c r="C573" s="232">
        <f t="shared" ref="C573:C611" si="246">D573+F573+G573+H573+I573+K573+L573+M573+O573+P573+Q573+R573+S573+W573+V573+X573</f>
        <v>11306802.27</v>
      </c>
      <c r="D573" s="228">
        <f>ROUND(2000.3*589.88,2)</f>
        <v>1179936.96</v>
      </c>
      <c r="E573" s="257">
        <v>1</v>
      </c>
      <c r="F573" s="237">
        <v>1612809</v>
      </c>
      <c r="G573" s="226">
        <f>ROUND(2000.3*596.38,2)</f>
        <v>1192938.9099999999</v>
      </c>
      <c r="H573" s="234">
        <v>3139110.8</v>
      </c>
      <c r="I573" s="234">
        <f>ROUND(2000.3*871.5,2)</f>
        <v>1743261.45</v>
      </c>
      <c r="J573" s="560"/>
      <c r="K573" s="225"/>
      <c r="L573" s="226">
        <f>ROUND(2000.3*616.25,2)</f>
        <v>1232684.8799999999</v>
      </c>
      <c r="M573" s="227"/>
      <c r="N573" s="227"/>
      <c r="O573" s="227"/>
      <c r="P573" s="227"/>
      <c r="Q573" s="226"/>
      <c r="R573" s="228"/>
      <c r="S573" s="228"/>
      <c r="T573" s="228"/>
      <c r="U573" s="228"/>
      <c r="V573" s="236">
        <f>673593.6+224000+156955.54</f>
        <v>1054549.1399999999</v>
      </c>
      <c r="W573" s="309">
        <f>ROUND((D573+F573+G573+H573+I573+L573+M573+O573+P573+Q573+R573+S573)*1.5%,2)</f>
        <v>151511.13</v>
      </c>
      <c r="X573" s="229"/>
      <c r="Y573" s="229"/>
      <c r="Z573" s="229"/>
      <c r="AA573" s="229"/>
      <c r="AB573" s="230">
        <f t="shared" ref="AB573" si="247">C573</f>
        <v>11306802.27</v>
      </c>
      <c r="AC573" s="231"/>
      <c r="AD573" s="231">
        <v>2024</v>
      </c>
      <c r="AE573" s="231">
        <v>2025</v>
      </c>
      <c r="AF573" s="91"/>
      <c r="AG573" s="91"/>
    </row>
    <row r="574" spans="1:33" s="26" customFormat="1" ht="24" customHeight="1">
      <c r="A574" s="585">
        <f t="shared" si="240"/>
        <v>155</v>
      </c>
      <c r="B574" s="632" t="s">
        <v>283</v>
      </c>
      <c r="C574" s="587">
        <f t="shared" si="246"/>
        <v>12216759.210000001</v>
      </c>
      <c r="D574" s="580"/>
      <c r="E574" s="831"/>
      <c r="F574" s="581"/>
      <c r="G574" s="578"/>
      <c r="H574" s="582"/>
      <c r="I574" s="582"/>
      <c r="J574" s="585"/>
      <c r="K574" s="577"/>
      <c r="L574" s="578"/>
      <c r="M574" s="579"/>
      <c r="N574" s="579"/>
      <c r="O574" s="579"/>
      <c r="P574" s="579"/>
      <c r="Q574" s="578"/>
      <c r="R574" s="580">
        <v>11945964.48</v>
      </c>
      <c r="S574" s="580"/>
      <c r="T574" s="580"/>
      <c r="U574" s="580"/>
      <c r="V574" s="583">
        <v>190478.68</v>
      </c>
      <c r="W574" s="584">
        <v>45012.28</v>
      </c>
      <c r="X574" s="616">
        <v>35303.769999999997</v>
      </c>
      <c r="Y574" s="581"/>
      <c r="Z574" s="584">
        <f>C574</f>
        <v>12216759.210000001</v>
      </c>
      <c r="AA574" s="581"/>
      <c r="AB574" s="584"/>
      <c r="AC574" s="585"/>
      <c r="AD574" s="585">
        <v>2024</v>
      </c>
      <c r="AE574" s="585">
        <v>2025</v>
      </c>
      <c r="AF574" s="91"/>
      <c r="AG574" s="91"/>
    </row>
    <row r="575" spans="1:33" s="26" customFormat="1" ht="24" customHeight="1">
      <c r="A575" s="231">
        <f t="shared" si="240"/>
        <v>156</v>
      </c>
      <c r="B575" s="235" t="s">
        <v>474</v>
      </c>
      <c r="C575" s="232">
        <f t="shared" si="246"/>
        <v>62357161.990000002</v>
      </c>
      <c r="D575" s="228">
        <v>2685342.04</v>
      </c>
      <c r="E575" s="257"/>
      <c r="F575" s="229"/>
      <c r="G575" s="226">
        <v>1846602.14</v>
      </c>
      <c r="H575" s="234">
        <v>2650328.65</v>
      </c>
      <c r="I575" s="234">
        <v>10145513.26</v>
      </c>
      <c r="J575" s="856"/>
      <c r="K575" s="225"/>
      <c r="L575" s="226">
        <v>3098576.47</v>
      </c>
      <c r="M575" s="227"/>
      <c r="N575" s="227"/>
      <c r="O575" s="227"/>
      <c r="P575" s="239">
        <v>22521506.809999999</v>
      </c>
      <c r="Q575" s="226"/>
      <c r="R575" s="228">
        <v>17280266.629999999</v>
      </c>
      <c r="S575" s="228"/>
      <c r="T575" s="228"/>
      <c r="U575" s="228"/>
      <c r="V575" s="236">
        <f>563648.1+1021318.13</f>
        <v>1584966.23</v>
      </c>
      <c r="W575" s="309">
        <f>133196.45+306395.44</f>
        <v>439591.89</v>
      </c>
      <c r="X575" s="238">
        <v>104467.87</v>
      </c>
      <c r="Y575" s="229"/>
      <c r="Z575" s="230">
        <f>C575-AB575</f>
        <v>40603085.859999999</v>
      </c>
      <c r="AA575" s="229"/>
      <c r="AB575" s="230">
        <f>D575+G575+H575+I575+L575+1021318.13+306395.44</f>
        <v>21754076.129999999</v>
      </c>
      <c r="AC575" s="231"/>
      <c r="AD575" s="231">
        <v>2024</v>
      </c>
      <c r="AE575" s="231">
        <v>2025</v>
      </c>
      <c r="AF575" s="91"/>
      <c r="AG575" s="91"/>
    </row>
    <row r="576" spans="1:33" s="26" customFormat="1" ht="24" customHeight="1">
      <c r="A576" s="231">
        <f t="shared" si="240"/>
        <v>157</v>
      </c>
      <c r="B576" s="235" t="s">
        <v>477</v>
      </c>
      <c r="C576" s="232">
        <f t="shared" si="246"/>
        <v>63158487.859999999</v>
      </c>
      <c r="D576" s="228"/>
      <c r="E576" s="257"/>
      <c r="F576" s="229"/>
      <c r="G576" s="182"/>
      <c r="H576" s="234"/>
      <c r="I576" s="234"/>
      <c r="J576" s="856"/>
      <c r="K576" s="225"/>
      <c r="L576" s="182"/>
      <c r="M576" s="185"/>
      <c r="N576" s="185"/>
      <c r="O576" s="185"/>
      <c r="P576" s="208">
        <v>32946641.98</v>
      </c>
      <c r="Q576" s="182"/>
      <c r="R576" s="228">
        <v>26794968.84</v>
      </c>
      <c r="S576" s="228"/>
      <c r="T576" s="228"/>
      <c r="U576" s="228"/>
      <c r="V576" s="236">
        <v>2987080.54</v>
      </c>
      <c r="W576" s="309">
        <v>429796.5</v>
      </c>
      <c r="X576" s="229"/>
      <c r="Y576" s="229"/>
      <c r="Z576" s="230">
        <f>C576</f>
        <v>63158487.859999999</v>
      </c>
      <c r="AA576" s="229"/>
      <c r="AB576" s="230"/>
      <c r="AC576" s="231"/>
      <c r="AD576" s="231">
        <v>2024</v>
      </c>
      <c r="AE576" s="231">
        <v>2025</v>
      </c>
      <c r="AF576" s="91"/>
      <c r="AG576" s="91"/>
    </row>
    <row r="577" spans="1:33" s="26" customFormat="1" ht="24" customHeight="1">
      <c r="A577" s="231">
        <f t="shared" si="240"/>
        <v>158</v>
      </c>
      <c r="B577" s="235" t="s">
        <v>1251</v>
      </c>
      <c r="C577" s="232">
        <f t="shared" si="246"/>
        <v>40974065.909999996</v>
      </c>
      <c r="D577" s="228"/>
      <c r="E577" s="257"/>
      <c r="F577" s="229"/>
      <c r="G577" s="182"/>
      <c r="H577" s="234"/>
      <c r="I577" s="234"/>
      <c r="J577" s="856"/>
      <c r="K577" s="225"/>
      <c r="L577" s="182"/>
      <c r="M577" s="185"/>
      <c r="N577" s="185"/>
      <c r="O577" s="185"/>
      <c r="P577" s="208">
        <v>16572083.060000001</v>
      </c>
      <c r="Q577" s="182"/>
      <c r="R577" s="228">
        <v>22185284.039999999</v>
      </c>
      <c r="S577" s="228"/>
      <c r="T577" s="228"/>
      <c r="U577" s="228"/>
      <c r="V577" s="236">
        <v>1937868.36</v>
      </c>
      <c r="W577" s="309">
        <v>278830.45</v>
      </c>
      <c r="X577" s="229"/>
      <c r="Y577" s="229"/>
      <c r="Z577" s="230">
        <f>C577</f>
        <v>40974065.909999996</v>
      </c>
      <c r="AA577" s="229"/>
      <c r="AB577" s="230"/>
      <c r="AC577" s="231"/>
      <c r="AD577" s="231">
        <v>2024</v>
      </c>
      <c r="AE577" s="231">
        <v>2025</v>
      </c>
      <c r="AF577" s="91"/>
      <c r="AG577" s="91"/>
    </row>
    <row r="578" spans="1:33" s="26" customFormat="1" ht="25.5" customHeight="1">
      <c r="A578" s="231">
        <f t="shared" si="240"/>
        <v>159</v>
      </c>
      <c r="B578" s="235" t="s">
        <v>615</v>
      </c>
      <c r="C578" s="232">
        <f t="shared" si="246"/>
        <v>6229268.1699999999</v>
      </c>
      <c r="D578" s="228"/>
      <c r="E578" s="257"/>
      <c r="F578" s="229"/>
      <c r="G578" s="182"/>
      <c r="H578" s="234"/>
      <c r="I578" s="234"/>
      <c r="J578" s="856"/>
      <c r="K578" s="246"/>
      <c r="L578" s="182"/>
      <c r="M578" s="185"/>
      <c r="N578" s="185"/>
      <c r="O578" s="185"/>
      <c r="P578" s="208"/>
      <c r="Q578" s="182"/>
      <c r="R578" s="228"/>
      <c r="S578" s="182">
        <v>5849078.0899999999</v>
      </c>
      <c r="T578" s="182"/>
      <c r="U578" s="182"/>
      <c r="V578" s="236">
        <v>292453.90999999997</v>
      </c>
      <c r="W578" s="446">
        <v>87736.17</v>
      </c>
      <c r="X578" s="229"/>
      <c r="Y578" s="229"/>
      <c r="Z578" s="230"/>
      <c r="AA578" s="229"/>
      <c r="AB578" s="230">
        <f>C578</f>
        <v>6229268.1699999999</v>
      </c>
      <c r="AC578" s="231"/>
      <c r="AD578" s="231">
        <v>2024</v>
      </c>
      <c r="AE578" s="231">
        <v>2025</v>
      </c>
      <c r="AF578" s="91"/>
      <c r="AG578" s="91"/>
    </row>
    <row r="579" spans="1:33" s="26" customFormat="1" ht="24" customHeight="1">
      <c r="A579" s="231">
        <f t="shared" si="240"/>
        <v>160</v>
      </c>
      <c r="B579" s="235" t="s">
        <v>632</v>
      </c>
      <c r="C579" s="232">
        <f t="shared" si="246"/>
        <v>1064099.1200000001</v>
      </c>
      <c r="D579" s="228"/>
      <c r="E579" s="257"/>
      <c r="F579" s="229"/>
      <c r="G579" s="182"/>
      <c r="H579" s="234"/>
      <c r="I579" s="234"/>
      <c r="J579" s="856"/>
      <c r="K579" s="236"/>
      <c r="L579" s="182"/>
      <c r="M579" s="185"/>
      <c r="N579" s="185"/>
      <c r="O579" s="185"/>
      <c r="P579" s="208"/>
      <c r="Q579" s="182"/>
      <c r="R579" s="228"/>
      <c r="S579" s="182"/>
      <c r="T579" s="182"/>
      <c r="U579" s="182"/>
      <c r="V579" s="236">
        <v>1064099.1200000001</v>
      </c>
      <c r="W579" s="309"/>
      <c r="X579" s="229"/>
      <c r="Y579" s="229"/>
      <c r="Z579" s="230">
        <f>C579</f>
        <v>1064099.1200000001</v>
      </c>
      <c r="AA579" s="229"/>
      <c r="AB579" s="230"/>
      <c r="AC579" s="231"/>
      <c r="AD579" s="231">
        <v>2024</v>
      </c>
      <c r="AE579" s="231">
        <v>2024</v>
      </c>
      <c r="AF579" s="91"/>
      <c r="AG579" s="91"/>
    </row>
    <row r="580" spans="1:33" s="26" customFormat="1" ht="24" customHeight="1">
      <c r="A580" s="231">
        <f t="shared" si="240"/>
        <v>161</v>
      </c>
      <c r="B580" s="235" t="s">
        <v>95</v>
      </c>
      <c r="C580" s="232">
        <f t="shared" si="246"/>
        <v>1860880.18</v>
      </c>
      <c r="D580" s="228"/>
      <c r="E580" s="257">
        <v>1</v>
      </c>
      <c r="F580" s="240">
        <v>1612809</v>
      </c>
      <c r="G580" s="362"/>
      <c r="H580" s="241"/>
      <c r="I580" s="241"/>
      <c r="J580" s="856"/>
      <c r="K580" s="158"/>
      <c r="L580" s="362"/>
      <c r="M580" s="363"/>
      <c r="N580" s="363"/>
      <c r="O580" s="363"/>
      <c r="P580" s="363"/>
      <c r="Q580" s="362"/>
      <c r="R580" s="243"/>
      <c r="S580" s="362"/>
      <c r="T580" s="362"/>
      <c r="U580" s="362"/>
      <c r="V580" s="236">
        <v>224000</v>
      </c>
      <c r="W580" s="309">
        <v>24071.18</v>
      </c>
      <c r="X580" s="229"/>
      <c r="Y580" s="229"/>
      <c r="Z580" s="230">
        <f>C580</f>
        <v>1860880.18</v>
      </c>
      <c r="AA580" s="229"/>
      <c r="AB580" s="230"/>
      <c r="AC580" s="231"/>
      <c r="AD580" s="231">
        <v>2024</v>
      </c>
      <c r="AE580" s="231">
        <v>2024</v>
      </c>
      <c r="AF580" s="91"/>
      <c r="AG580" s="91"/>
    </row>
    <row r="581" spans="1:33" s="26" customFormat="1" ht="24" customHeight="1">
      <c r="A581" s="231">
        <f t="shared" si="240"/>
        <v>162</v>
      </c>
      <c r="B581" s="445" t="s">
        <v>1260</v>
      </c>
      <c r="C581" s="418">
        <f t="shared" si="246"/>
        <v>3088597.54</v>
      </c>
      <c r="D581" s="428"/>
      <c r="E581" s="563"/>
      <c r="F581" s="428"/>
      <c r="G581" s="421"/>
      <c r="H581" s="429"/>
      <c r="I581" s="429"/>
      <c r="J581" s="864">
        <v>1</v>
      </c>
      <c r="K581" s="428">
        <v>2844412.78</v>
      </c>
      <c r="L581" s="421"/>
      <c r="M581" s="421"/>
      <c r="N581" s="421"/>
      <c r="O581" s="421"/>
      <c r="P581" s="428"/>
      <c r="Q581" s="443"/>
      <c r="R581" s="428"/>
      <c r="S581" s="421"/>
      <c r="T581" s="421"/>
      <c r="U581" s="421"/>
      <c r="V581" s="417">
        <v>231321.48</v>
      </c>
      <c r="W581" s="446">
        <v>12863.28</v>
      </c>
      <c r="X581" s="420"/>
      <c r="Y581" s="420"/>
      <c r="Z581" s="425">
        <f t="shared" ref="Z581:Z584" si="248">C581</f>
        <v>3088597.54</v>
      </c>
      <c r="AA581" s="420"/>
      <c r="AB581" s="425"/>
      <c r="AC581" s="426"/>
      <c r="AD581" s="245" t="s">
        <v>482</v>
      </c>
      <c r="AE581" s="231">
        <v>2024</v>
      </c>
      <c r="AF581" s="91"/>
      <c r="AG581" s="91"/>
    </row>
    <row r="582" spans="1:33" s="26" customFormat="1" ht="24" customHeight="1">
      <c r="A582" s="231">
        <f t="shared" si="240"/>
        <v>163</v>
      </c>
      <c r="B582" s="445" t="s">
        <v>1261</v>
      </c>
      <c r="C582" s="418">
        <f t="shared" si="246"/>
        <v>3196591.93</v>
      </c>
      <c r="D582" s="428"/>
      <c r="E582" s="563"/>
      <c r="F582" s="428"/>
      <c r="G582" s="421"/>
      <c r="H582" s="429"/>
      <c r="I582" s="429"/>
      <c r="J582" s="864">
        <v>1</v>
      </c>
      <c r="K582" s="449">
        <v>2952407.17</v>
      </c>
      <c r="L582" s="421"/>
      <c r="M582" s="421"/>
      <c r="N582" s="421"/>
      <c r="O582" s="421"/>
      <c r="P582" s="428"/>
      <c r="Q582" s="443"/>
      <c r="R582" s="428"/>
      <c r="S582" s="421"/>
      <c r="T582" s="421"/>
      <c r="U582" s="421"/>
      <c r="V582" s="417">
        <v>231321.48</v>
      </c>
      <c r="W582" s="446">
        <v>12863.28</v>
      </c>
      <c r="X582" s="420"/>
      <c r="Y582" s="420"/>
      <c r="Z582" s="425">
        <f t="shared" si="248"/>
        <v>3196591.93</v>
      </c>
      <c r="AA582" s="420"/>
      <c r="AB582" s="425"/>
      <c r="AC582" s="426"/>
      <c r="AD582" s="245" t="s">
        <v>482</v>
      </c>
      <c r="AE582" s="231">
        <v>2024</v>
      </c>
      <c r="AF582" s="91"/>
      <c r="AG582" s="91"/>
    </row>
    <row r="583" spans="1:33" s="26" customFormat="1" ht="24" customHeight="1">
      <c r="A583" s="231">
        <f t="shared" si="240"/>
        <v>164</v>
      </c>
      <c r="B583" s="445" t="s">
        <v>1262</v>
      </c>
      <c r="C583" s="418">
        <f t="shared" si="246"/>
        <v>3265524.76</v>
      </c>
      <c r="D583" s="428"/>
      <c r="E583" s="563"/>
      <c r="F583" s="428"/>
      <c r="G583" s="421"/>
      <c r="H583" s="429"/>
      <c r="I583" s="429"/>
      <c r="J583" s="864">
        <v>1</v>
      </c>
      <c r="K583" s="428">
        <f>2771340+250000</f>
        <v>3021340</v>
      </c>
      <c r="L583" s="421"/>
      <c r="M583" s="421"/>
      <c r="N583" s="421"/>
      <c r="O583" s="421"/>
      <c r="P583" s="428"/>
      <c r="Q583" s="443"/>
      <c r="R583" s="428"/>
      <c r="S583" s="421"/>
      <c r="T583" s="421"/>
      <c r="U583" s="421"/>
      <c r="V583" s="417">
        <v>231321.48</v>
      </c>
      <c r="W583" s="446">
        <v>12863.28</v>
      </c>
      <c r="X583" s="420"/>
      <c r="Y583" s="420"/>
      <c r="Z583" s="425">
        <f t="shared" si="248"/>
        <v>3265524.76</v>
      </c>
      <c r="AA583" s="420"/>
      <c r="AB583" s="425"/>
      <c r="AC583" s="426"/>
      <c r="AD583" s="245" t="s">
        <v>482</v>
      </c>
      <c r="AE583" s="231">
        <v>2024</v>
      </c>
      <c r="AF583" s="91"/>
      <c r="AG583" s="91"/>
    </row>
    <row r="584" spans="1:33" s="26" customFormat="1" ht="24" customHeight="1">
      <c r="A584" s="231">
        <f t="shared" si="240"/>
        <v>165</v>
      </c>
      <c r="B584" s="445" t="s">
        <v>1263</v>
      </c>
      <c r="C584" s="418">
        <f t="shared" si="246"/>
        <v>3083120.25</v>
      </c>
      <c r="D584" s="428"/>
      <c r="E584" s="563"/>
      <c r="F584" s="428"/>
      <c r="G584" s="421"/>
      <c r="H584" s="429"/>
      <c r="I584" s="429"/>
      <c r="J584" s="864">
        <v>1</v>
      </c>
      <c r="K584" s="428">
        <v>2838935.49</v>
      </c>
      <c r="L584" s="421"/>
      <c r="M584" s="421"/>
      <c r="N584" s="421"/>
      <c r="O584" s="421"/>
      <c r="P584" s="428"/>
      <c r="Q584" s="443"/>
      <c r="R584" s="428"/>
      <c r="S584" s="421"/>
      <c r="T584" s="421"/>
      <c r="U584" s="421"/>
      <c r="V584" s="417">
        <v>231321.48</v>
      </c>
      <c r="W584" s="446">
        <v>12863.28</v>
      </c>
      <c r="X584" s="420"/>
      <c r="Y584" s="420"/>
      <c r="Z584" s="425">
        <f t="shared" si="248"/>
        <v>3083120.25</v>
      </c>
      <c r="AA584" s="420"/>
      <c r="AB584" s="425"/>
      <c r="AC584" s="426"/>
      <c r="AD584" s="245" t="s">
        <v>482</v>
      </c>
      <c r="AE584" s="231">
        <v>2024</v>
      </c>
      <c r="AF584" s="91"/>
      <c r="AG584" s="91"/>
    </row>
    <row r="585" spans="1:33" s="26" customFormat="1" ht="24" customHeight="1">
      <c r="A585" s="231">
        <f t="shared" si="240"/>
        <v>166</v>
      </c>
      <c r="B585" s="445" t="s">
        <v>1264</v>
      </c>
      <c r="C585" s="418">
        <f t="shared" si="246"/>
        <v>5929884.6100000003</v>
      </c>
      <c r="D585" s="428"/>
      <c r="E585" s="563"/>
      <c r="F585" s="428"/>
      <c r="G585" s="421"/>
      <c r="H585" s="429"/>
      <c r="I585" s="429"/>
      <c r="J585" s="864">
        <v>2</v>
      </c>
      <c r="K585" s="428">
        <v>5454378.3700000001</v>
      </c>
      <c r="L585" s="421"/>
      <c r="M585" s="421"/>
      <c r="N585" s="421"/>
      <c r="O585" s="421"/>
      <c r="P585" s="428"/>
      <c r="Q585" s="443"/>
      <c r="R585" s="428"/>
      <c r="S585" s="421"/>
      <c r="T585" s="421"/>
      <c r="U585" s="421"/>
      <c r="V585" s="417">
        <v>462642.96</v>
      </c>
      <c r="W585" s="446">
        <v>12863.28</v>
      </c>
      <c r="X585" s="420"/>
      <c r="Y585" s="420"/>
      <c r="Z585" s="425">
        <f>C585</f>
        <v>5929884.6100000003</v>
      </c>
      <c r="AA585" s="420"/>
      <c r="AB585" s="425"/>
      <c r="AC585" s="426"/>
      <c r="AD585" s="245" t="s">
        <v>482</v>
      </c>
      <c r="AE585" s="231">
        <v>2024</v>
      </c>
      <c r="AF585" s="91"/>
      <c r="AG585" s="91"/>
    </row>
    <row r="586" spans="1:33" s="26" customFormat="1" ht="24" customHeight="1">
      <c r="A586" s="231">
        <f t="shared" si="240"/>
        <v>167</v>
      </c>
      <c r="B586" s="445" t="s">
        <v>770</v>
      </c>
      <c r="C586" s="418">
        <f t="shared" si="246"/>
        <v>1814534.52</v>
      </c>
      <c r="D586" s="428"/>
      <c r="E586" s="734">
        <v>1</v>
      </c>
      <c r="F586" s="451">
        <v>1580373.82</v>
      </c>
      <c r="G586" s="421"/>
      <c r="H586" s="429"/>
      <c r="I586" s="429"/>
      <c r="J586" s="864"/>
      <c r="K586" s="114"/>
      <c r="L586" s="421"/>
      <c r="M586" s="421"/>
      <c r="N586" s="421"/>
      <c r="O586" s="421"/>
      <c r="P586" s="421"/>
      <c r="Q586" s="450"/>
      <c r="R586" s="428"/>
      <c r="S586" s="421"/>
      <c r="T586" s="421"/>
      <c r="U586" s="421"/>
      <c r="V586" s="417">
        <v>224000</v>
      </c>
      <c r="W586" s="735">
        <v>10160.700000000001</v>
      </c>
      <c r="X586" s="420"/>
      <c r="Y586" s="420"/>
      <c r="Z586" s="425">
        <f>C586</f>
        <v>1814534.52</v>
      </c>
      <c r="AA586" s="420"/>
      <c r="AB586" s="425"/>
      <c r="AC586" s="426"/>
      <c r="AD586" s="245" t="s">
        <v>482</v>
      </c>
      <c r="AE586" s="231">
        <v>2024</v>
      </c>
      <c r="AF586" s="91"/>
      <c r="AG586" s="91"/>
    </row>
    <row r="587" spans="1:33" s="26" customFormat="1" ht="24" customHeight="1">
      <c r="A587" s="231">
        <f t="shared" si="240"/>
        <v>168</v>
      </c>
      <c r="B587" s="235" t="s">
        <v>212</v>
      </c>
      <c r="C587" s="232">
        <f t="shared" si="246"/>
        <v>13423175.6</v>
      </c>
      <c r="D587" s="228"/>
      <c r="E587" s="257">
        <v>1</v>
      </c>
      <c r="F587" s="237">
        <v>1612809</v>
      </c>
      <c r="G587" s="182"/>
      <c r="H587" s="234"/>
      <c r="I587" s="234">
        <f>ROUND(1958.8*4857.9,2)</f>
        <v>9515654.5199999996</v>
      </c>
      <c r="J587" s="856"/>
      <c r="K587" s="225"/>
      <c r="L587" s="182">
        <f>ROUND(1958.8*616.25,2)</f>
        <v>1207110.5</v>
      </c>
      <c r="M587" s="185"/>
      <c r="N587" s="185"/>
      <c r="O587" s="185"/>
      <c r="P587" s="185"/>
      <c r="Q587" s="182"/>
      <c r="R587" s="228"/>
      <c r="S587" s="228"/>
      <c r="T587" s="228"/>
      <c r="U587" s="228"/>
      <c r="V587" s="236">
        <f>678567.97+224000</f>
        <v>902567.97</v>
      </c>
      <c r="W587" s="309">
        <f>ROUND((D587+F587+G587+H587+I587+L587+M587+O587+P587+Q587+R587+S587)*1.5%,2)</f>
        <v>185033.61</v>
      </c>
      <c r="X587" s="229"/>
      <c r="Y587" s="229"/>
      <c r="Z587" s="229"/>
      <c r="AA587" s="229"/>
      <c r="AB587" s="230">
        <f t="shared" ref="AB587" si="249">C587</f>
        <v>13423175.6</v>
      </c>
      <c r="AC587" s="231"/>
      <c r="AD587" s="231">
        <v>2024</v>
      </c>
      <c r="AE587" s="231">
        <v>2025</v>
      </c>
      <c r="AF587" s="91"/>
      <c r="AG587" s="91"/>
    </row>
    <row r="588" spans="1:33" s="26" customFormat="1" ht="24" customHeight="1">
      <c r="A588" s="231">
        <f t="shared" si="240"/>
        <v>169</v>
      </c>
      <c r="B588" s="235" t="s">
        <v>480</v>
      </c>
      <c r="C588" s="232">
        <f t="shared" si="246"/>
        <v>13740902.65</v>
      </c>
      <c r="D588" s="228"/>
      <c r="E588" s="257"/>
      <c r="F588" s="229"/>
      <c r="G588" s="182"/>
      <c r="H588" s="234"/>
      <c r="I588" s="234"/>
      <c r="J588" s="856"/>
      <c r="K588" s="246"/>
      <c r="L588" s="182"/>
      <c r="M588" s="185"/>
      <c r="N588" s="185"/>
      <c r="O588" s="185"/>
      <c r="P588" s="182">
        <v>7791993.6100000003</v>
      </c>
      <c r="Q588" s="182"/>
      <c r="R588" s="228">
        <v>5205525.58</v>
      </c>
      <c r="S588" s="228"/>
      <c r="T588" s="228"/>
      <c r="U588" s="228"/>
      <c r="V588" s="228">
        <v>649875.96</v>
      </c>
      <c r="W588" s="309">
        <v>93507.5</v>
      </c>
      <c r="X588" s="229"/>
      <c r="Y588" s="229"/>
      <c r="Z588" s="230">
        <f>C588</f>
        <v>13740902.65</v>
      </c>
      <c r="AA588" s="229"/>
      <c r="AB588" s="230"/>
      <c r="AC588" s="231"/>
      <c r="AD588" s="231">
        <v>2024</v>
      </c>
      <c r="AE588" s="231">
        <v>2025</v>
      </c>
      <c r="AF588" s="91"/>
      <c r="AG588" s="91"/>
    </row>
    <row r="589" spans="1:33" s="26" customFormat="1" ht="24" customHeight="1">
      <c r="A589" s="231">
        <f t="shared" si="240"/>
        <v>170</v>
      </c>
      <c r="B589" s="235" t="s">
        <v>616</v>
      </c>
      <c r="C589" s="232">
        <f t="shared" si="246"/>
        <v>5123363.51</v>
      </c>
      <c r="D589" s="228"/>
      <c r="E589" s="257"/>
      <c r="F589" s="229"/>
      <c r="G589" s="182"/>
      <c r="H589" s="234"/>
      <c r="I589" s="234"/>
      <c r="J589" s="856"/>
      <c r="K589" s="14"/>
      <c r="L589" s="182"/>
      <c r="M589" s="185"/>
      <c r="N589" s="185"/>
      <c r="O589" s="185"/>
      <c r="P589" s="182"/>
      <c r="Q589" s="182"/>
      <c r="R589" s="228"/>
      <c r="S589" s="182">
        <v>4810669.96</v>
      </c>
      <c r="T589" s="182"/>
      <c r="U589" s="182"/>
      <c r="V589" s="228">
        <v>240533.5</v>
      </c>
      <c r="W589" s="309">
        <v>72160.05</v>
      </c>
      <c r="X589" s="229"/>
      <c r="Y589" s="229"/>
      <c r="Z589" s="230"/>
      <c r="AA589" s="229"/>
      <c r="AB589" s="230">
        <f>C589</f>
        <v>5123363.51</v>
      </c>
      <c r="AC589" s="231"/>
      <c r="AD589" s="231">
        <v>2024</v>
      </c>
      <c r="AE589" s="231">
        <v>2025</v>
      </c>
      <c r="AF589" s="91"/>
      <c r="AG589" s="91"/>
    </row>
    <row r="590" spans="1:33" s="26" customFormat="1" ht="24" customHeight="1">
      <c r="A590" s="648">
        <f t="shared" si="240"/>
        <v>171</v>
      </c>
      <c r="B590" s="667" t="s">
        <v>453</v>
      </c>
      <c r="C590" s="649">
        <f t="shared" si="246"/>
        <v>12227171.1</v>
      </c>
      <c r="D590" s="659">
        <v>381051.4</v>
      </c>
      <c r="E590" s="753"/>
      <c r="F590" s="660"/>
      <c r="G590" s="661">
        <v>281275.27</v>
      </c>
      <c r="H590" s="662">
        <v>704873.25</v>
      </c>
      <c r="I590" s="662">
        <v>4662499.05</v>
      </c>
      <c r="J590" s="753"/>
      <c r="K590" s="664"/>
      <c r="L590" s="661">
        <v>692461.22</v>
      </c>
      <c r="M590" s="668">
        <v>676434</v>
      </c>
      <c r="N590" s="663"/>
      <c r="O590" s="663"/>
      <c r="P590" s="661"/>
      <c r="Q590" s="661"/>
      <c r="R590" s="669">
        <v>2764502.41</v>
      </c>
      <c r="S590" s="661"/>
      <c r="T590" s="661"/>
      <c r="U590" s="661"/>
      <c r="V590" s="659">
        <v>1897228.73</v>
      </c>
      <c r="W590" s="761">
        <v>166845.76999999999</v>
      </c>
      <c r="X590" s="660"/>
      <c r="Y590" s="660"/>
      <c r="Z590" s="654">
        <f>C590</f>
        <v>12227171.1</v>
      </c>
      <c r="AA590" s="660"/>
      <c r="AB590" s="654"/>
      <c r="AC590" s="648"/>
      <c r="AD590" s="648">
        <v>2024</v>
      </c>
      <c r="AE590" s="648">
        <v>2025</v>
      </c>
      <c r="AF590" s="91"/>
      <c r="AG590" s="91"/>
    </row>
    <row r="591" spans="1:33" s="26" customFormat="1" ht="24" customHeight="1">
      <c r="A591" s="231">
        <f t="shared" si="240"/>
        <v>172</v>
      </c>
      <c r="B591" s="235" t="s">
        <v>620</v>
      </c>
      <c r="C591" s="232">
        <f t="shared" si="246"/>
        <v>1861001.14</v>
      </c>
      <c r="D591" s="228"/>
      <c r="E591" s="257">
        <v>1</v>
      </c>
      <c r="F591" s="237">
        <v>1612809</v>
      </c>
      <c r="G591" s="226"/>
      <c r="H591" s="228"/>
      <c r="I591" s="234"/>
      <c r="J591" s="856"/>
      <c r="K591" s="102"/>
      <c r="L591" s="226"/>
      <c r="M591" s="227"/>
      <c r="N591" s="227"/>
      <c r="O591" s="227"/>
      <c r="P591" s="229"/>
      <c r="Q591" s="228"/>
      <c r="R591" s="229"/>
      <c r="S591" s="226"/>
      <c r="T591" s="226"/>
      <c r="U591" s="226"/>
      <c r="V591" s="248">
        <v>224000</v>
      </c>
      <c r="W591" s="309">
        <f>24192.14</f>
        <v>24192.14</v>
      </c>
      <c r="X591" s="229"/>
      <c r="Y591" s="229"/>
      <c r="Z591" s="230"/>
      <c r="AA591" s="229"/>
      <c r="AB591" s="230">
        <f>C591</f>
        <v>1861001.14</v>
      </c>
      <c r="AC591" s="231"/>
      <c r="AD591" s="231">
        <v>2024</v>
      </c>
      <c r="AE591" s="231">
        <v>2025</v>
      </c>
      <c r="AF591" s="91"/>
      <c r="AG591" s="91"/>
    </row>
    <row r="592" spans="1:33" s="26" customFormat="1" ht="24" customHeight="1">
      <c r="A592" s="231">
        <f t="shared" si="240"/>
        <v>173</v>
      </c>
      <c r="B592" s="235" t="s">
        <v>621</v>
      </c>
      <c r="C592" s="232">
        <f t="shared" si="246"/>
        <v>1861001.14</v>
      </c>
      <c r="D592" s="228"/>
      <c r="E592" s="257">
        <v>1</v>
      </c>
      <c r="F592" s="237">
        <v>1612809</v>
      </c>
      <c r="G592" s="226"/>
      <c r="H592" s="228"/>
      <c r="I592" s="234"/>
      <c r="J592" s="856"/>
      <c r="K592" s="102"/>
      <c r="L592" s="226"/>
      <c r="M592" s="227"/>
      <c r="N592" s="227"/>
      <c r="O592" s="227"/>
      <c r="P592" s="229"/>
      <c r="Q592" s="228"/>
      <c r="R592" s="229"/>
      <c r="S592" s="226"/>
      <c r="T592" s="226"/>
      <c r="U592" s="226"/>
      <c r="V592" s="248">
        <v>224000</v>
      </c>
      <c r="W592" s="309">
        <v>24192.14</v>
      </c>
      <c r="X592" s="229"/>
      <c r="Y592" s="229"/>
      <c r="Z592" s="230"/>
      <c r="AA592" s="229"/>
      <c r="AB592" s="230">
        <f>C592</f>
        <v>1861001.14</v>
      </c>
      <c r="AC592" s="231"/>
      <c r="AD592" s="231">
        <v>2024</v>
      </c>
      <c r="AE592" s="231">
        <v>2025</v>
      </c>
      <c r="AF592" s="91"/>
      <c r="AG592" s="91"/>
    </row>
    <row r="593" spans="1:33" s="26" customFormat="1" ht="24" customHeight="1">
      <c r="A593" s="231">
        <f t="shared" si="240"/>
        <v>174</v>
      </c>
      <c r="B593" s="235" t="s">
        <v>775</v>
      </c>
      <c r="C593" s="232">
        <f t="shared" si="246"/>
        <v>2621361.2400000002</v>
      </c>
      <c r="D593" s="228"/>
      <c r="E593" s="257"/>
      <c r="F593" s="237"/>
      <c r="G593" s="226"/>
      <c r="H593" s="228"/>
      <c r="I593" s="234"/>
      <c r="J593" s="856"/>
      <c r="K593" s="236"/>
      <c r="L593" s="226"/>
      <c r="M593" s="227"/>
      <c r="N593" s="227"/>
      <c r="O593" s="227"/>
      <c r="P593" s="227"/>
      <c r="Q593" s="226"/>
      <c r="R593" s="229"/>
      <c r="S593" s="226"/>
      <c r="T593" s="226"/>
      <c r="U593" s="226"/>
      <c r="V593" s="248">
        <v>2621361.2400000002</v>
      </c>
      <c r="W593" s="309"/>
      <c r="X593" s="229"/>
      <c r="Y593" s="229"/>
      <c r="Z593" s="230">
        <f>C593</f>
        <v>2621361.2400000002</v>
      </c>
      <c r="AA593" s="229"/>
      <c r="AB593" s="230"/>
      <c r="AC593" s="231"/>
      <c r="AD593" s="231">
        <v>2024</v>
      </c>
      <c r="AE593" s="231">
        <v>2025</v>
      </c>
      <c r="AF593" s="91"/>
      <c r="AG593" s="91"/>
    </row>
    <row r="594" spans="1:33" s="26" customFormat="1" ht="24" customHeight="1">
      <c r="A594" s="231">
        <f t="shared" si="240"/>
        <v>175</v>
      </c>
      <c r="B594" s="445" t="s">
        <v>903</v>
      </c>
      <c r="C594" s="418">
        <f t="shared" si="246"/>
        <v>8996102.5399999991</v>
      </c>
      <c r="D594" s="428"/>
      <c r="E594" s="734"/>
      <c r="F594" s="420"/>
      <c r="G594" s="421"/>
      <c r="H594" s="429"/>
      <c r="I594" s="429"/>
      <c r="J594" s="864">
        <v>3</v>
      </c>
      <c r="K594" s="428">
        <v>8289274.8200000003</v>
      </c>
      <c r="L594" s="421"/>
      <c r="M594" s="421"/>
      <c r="N594" s="422"/>
      <c r="O594" s="422"/>
      <c r="P594" s="427"/>
      <c r="Q594" s="428"/>
      <c r="R594" s="428"/>
      <c r="S594" s="421"/>
      <c r="T594" s="421"/>
      <c r="U594" s="421"/>
      <c r="V594" s="417">
        <v>693964.44</v>
      </c>
      <c r="W594" s="446">
        <v>12863.28</v>
      </c>
      <c r="X594" s="420"/>
      <c r="Y594" s="420"/>
      <c r="Z594" s="425">
        <f t="shared" ref="Z594:Z599" si="250">C594</f>
        <v>8996102.5399999991</v>
      </c>
      <c r="AA594" s="420"/>
      <c r="AB594" s="425"/>
      <c r="AC594" s="426"/>
      <c r="AD594" s="231">
        <v>2024</v>
      </c>
      <c r="AE594" s="231">
        <v>2024</v>
      </c>
      <c r="AF594" s="91"/>
      <c r="AG594" s="91"/>
    </row>
    <row r="595" spans="1:33" s="26" customFormat="1" ht="24" customHeight="1">
      <c r="A595" s="231">
        <f t="shared" si="240"/>
        <v>176</v>
      </c>
      <c r="B595" s="445" t="s">
        <v>904</v>
      </c>
      <c r="C595" s="418">
        <f t="shared" si="246"/>
        <v>3172325.06</v>
      </c>
      <c r="D595" s="428"/>
      <c r="E595" s="563"/>
      <c r="F595" s="428"/>
      <c r="G595" s="421"/>
      <c r="H595" s="429"/>
      <c r="I595" s="429"/>
      <c r="J595" s="864">
        <v>1</v>
      </c>
      <c r="K595" s="428">
        <v>2928140.3</v>
      </c>
      <c r="L595" s="421"/>
      <c r="M595" s="421"/>
      <c r="N595" s="421"/>
      <c r="O595" s="421"/>
      <c r="P595" s="428"/>
      <c r="Q595" s="443"/>
      <c r="R595" s="428"/>
      <c r="S595" s="421"/>
      <c r="T595" s="421"/>
      <c r="U595" s="421"/>
      <c r="V595" s="417">
        <v>231321.48</v>
      </c>
      <c r="W595" s="446">
        <v>12863.28</v>
      </c>
      <c r="X595" s="420"/>
      <c r="Y595" s="420"/>
      <c r="Z595" s="425">
        <f t="shared" si="250"/>
        <v>3172325.06</v>
      </c>
      <c r="AA595" s="420"/>
      <c r="AB595" s="425"/>
      <c r="AC595" s="426"/>
      <c r="AD595" s="245" t="s">
        <v>482</v>
      </c>
      <c r="AE595" s="231">
        <v>2024</v>
      </c>
      <c r="AF595" s="91"/>
      <c r="AG595" s="91"/>
    </row>
    <row r="596" spans="1:33" s="26" customFormat="1" ht="24" customHeight="1">
      <c r="A596" s="231">
        <f t="shared" si="240"/>
        <v>177</v>
      </c>
      <c r="B596" s="445" t="s">
        <v>905</v>
      </c>
      <c r="C596" s="418">
        <f t="shared" si="246"/>
        <v>5749590.1699999999</v>
      </c>
      <c r="D596" s="428"/>
      <c r="E596" s="563"/>
      <c r="F596" s="428"/>
      <c r="G596" s="421"/>
      <c r="H596" s="429"/>
      <c r="I596" s="429"/>
      <c r="J596" s="864">
        <v>2</v>
      </c>
      <c r="K596" s="428">
        <v>5274083.93</v>
      </c>
      <c r="L596" s="421"/>
      <c r="M596" s="421"/>
      <c r="N596" s="421"/>
      <c r="O596" s="421"/>
      <c r="P596" s="428"/>
      <c r="Q596" s="443"/>
      <c r="R596" s="428"/>
      <c r="S596" s="421"/>
      <c r="T596" s="421"/>
      <c r="U596" s="421"/>
      <c r="V596" s="417">
        <v>462642.96</v>
      </c>
      <c r="W596" s="446">
        <v>12863.28</v>
      </c>
      <c r="X596" s="420"/>
      <c r="Y596" s="420"/>
      <c r="Z596" s="425">
        <f t="shared" si="250"/>
        <v>5749590.1699999999</v>
      </c>
      <c r="AA596" s="420"/>
      <c r="AB596" s="425"/>
      <c r="AC596" s="426"/>
      <c r="AD596" s="245" t="s">
        <v>482</v>
      </c>
      <c r="AE596" s="231">
        <v>2024</v>
      </c>
      <c r="AF596" s="91"/>
      <c r="AG596" s="91"/>
    </row>
    <row r="597" spans="1:33" s="26" customFormat="1" ht="24" customHeight="1">
      <c r="A597" s="231">
        <f t="shared" si="240"/>
        <v>178</v>
      </c>
      <c r="B597" s="445" t="s">
        <v>906</v>
      </c>
      <c r="C597" s="418">
        <f t="shared" si="246"/>
        <v>6004533.5800000001</v>
      </c>
      <c r="D597" s="428"/>
      <c r="E597" s="563"/>
      <c r="F597" s="428"/>
      <c r="G597" s="421"/>
      <c r="H597" s="429"/>
      <c r="I597" s="429"/>
      <c r="J597" s="864">
        <v>2</v>
      </c>
      <c r="K597" s="428">
        <v>5529027.3399999999</v>
      </c>
      <c r="L597" s="421"/>
      <c r="M597" s="421"/>
      <c r="N597" s="421"/>
      <c r="O597" s="421"/>
      <c r="P597" s="428"/>
      <c r="Q597" s="443"/>
      <c r="R597" s="428"/>
      <c r="S597" s="421"/>
      <c r="T597" s="421"/>
      <c r="U597" s="421"/>
      <c r="V597" s="417">
        <v>462642.96</v>
      </c>
      <c r="W597" s="446">
        <v>12863.28</v>
      </c>
      <c r="X597" s="420"/>
      <c r="Y597" s="420"/>
      <c r="Z597" s="425">
        <f t="shared" si="250"/>
        <v>6004533.5800000001</v>
      </c>
      <c r="AA597" s="420"/>
      <c r="AB597" s="425"/>
      <c r="AC597" s="426"/>
      <c r="AD597" s="245" t="s">
        <v>482</v>
      </c>
      <c r="AE597" s="231">
        <v>2024</v>
      </c>
      <c r="AF597" s="91"/>
      <c r="AG597" s="91"/>
    </row>
    <row r="598" spans="1:33" s="26" customFormat="1" ht="24" customHeight="1">
      <c r="A598" s="231">
        <f t="shared" si="240"/>
        <v>179</v>
      </c>
      <c r="B598" s="445" t="s">
        <v>907</v>
      </c>
      <c r="C598" s="418">
        <f t="shared" si="246"/>
        <v>5960520.1299999999</v>
      </c>
      <c r="D598" s="428"/>
      <c r="E598" s="563"/>
      <c r="F598" s="428"/>
      <c r="G598" s="421"/>
      <c r="H598" s="429"/>
      <c r="I598" s="429"/>
      <c r="J598" s="864">
        <v>2</v>
      </c>
      <c r="K598" s="428">
        <v>5485013.8899999997</v>
      </c>
      <c r="L598" s="421"/>
      <c r="M598" s="421"/>
      <c r="N598" s="421"/>
      <c r="O598" s="421"/>
      <c r="P598" s="428"/>
      <c r="Q598" s="443"/>
      <c r="R598" s="428"/>
      <c r="S598" s="421"/>
      <c r="T598" s="421"/>
      <c r="U598" s="421"/>
      <c r="V598" s="417">
        <v>462642.96</v>
      </c>
      <c r="W598" s="446">
        <v>12863.28</v>
      </c>
      <c r="X598" s="420"/>
      <c r="Y598" s="420"/>
      <c r="Z598" s="425">
        <f t="shared" si="250"/>
        <v>5960520.1299999999</v>
      </c>
      <c r="AA598" s="420"/>
      <c r="AB598" s="425"/>
      <c r="AC598" s="426"/>
      <c r="AD598" s="245" t="s">
        <v>482</v>
      </c>
      <c r="AE598" s="231">
        <v>2024</v>
      </c>
      <c r="AF598" s="91"/>
      <c r="AG598" s="91"/>
    </row>
    <row r="599" spans="1:33" s="26" customFormat="1" ht="24" customHeight="1">
      <c r="A599" s="231">
        <f t="shared" si="240"/>
        <v>180</v>
      </c>
      <c r="B599" s="445" t="s">
        <v>908</v>
      </c>
      <c r="C599" s="418">
        <f t="shared" si="246"/>
        <v>6160789.5700000003</v>
      </c>
      <c r="D599" s="428"/>
      <c r="E599" s="563"/>
      <c r="F599" s="428"/>
      <c r="G599" s="421"/>
      <c r="H599" s="429"/>
      <c r="I599" s="429"/>
      <c r="J599" s="864">
        <v>2</v>
      </c>
      <c r="K599" s="428">
        <v>5685283.3300000001</v>
      </c>
      <c r="L599" s="421"/>
      <c r="M599" s="421"/>
      <c r="N599" s="421"/>
      <c r="O599" s="421"/>
      <c r="P599" s="428"/>
      <c r="Q599" s="443"/>
      <c r="R599" s="428"/>
      <c r="S599" s="421"/>
      <c r="T599" s="421"/>
      <c r="U599" s="421"/>
      <c r="V599" s="417">
        <v>462642.96</v>
      </c>
      <c r="W599" s="446">
        <v>12863.28</v>
      </c>
      <c r="X599" s="420"/>
      <c r="Y599" s="420"/>
      <c r="Z599" s="425">
        <f t="shared" si="250"/>
        <v>6160789.5700000003</v>
      </c>
      <c r="AA599" s="420"/>
      <c r="AB599" s="425"/>
      <c r="AC599" s="426"/>
      <c r="AD599" s="245" t="s">
        <v>482</v>
      </c>
      <c r="AE599" s="231">
        <v>2024</v>
      </c>
      <c r="AF599" s="91"/>
      <c r="AG599" s="91"/>
    </row>
    <row r="600" spans="1:33" s="26" customFormat="1" ht="24" customHeight="1">
      <c r="A600" s="231">
        <f t="shared" si="240"/>
        <v>181</v>
      </c>
      <c r="B600" s="235" t="s">
        <v>626</v>
      </c>
      <c r="C600" s="232">
        <f t="shared" si="246"/>
        <v>9572329.3200000003</v>
      </c>
      <c r="D600" s="228"/>
      <c r="E600" s="794"/>
      <c r="F600" s="228"/>
      <c r="G600" s="226"/>
      <c r="H600" s="234"/>
      <c r="I600" s="234"/>
      <c r="J600" s="863"/>
      <c r="K600" s="228"/>
      <c r="L600" s="226"/>
      <c r="M600" s="226"/>
      <c r="N600" s="226"/>
      <c r="O600" s="226"/>
      <c r="P600" s="228"/>
      <c r="Q600" s="244"/>
      <c r="R600" s="228">
        <v>5869266.0700000003</v>
      </c>
      <c r="S600" s="226">
        <v>3118836.58</v>
      </c>
      <c r="T600" s="226"/>
      <c r="U600" s="226"/>
      <c r="V600" s="236">
        <v>449405.13</v>
      </c>
      <c r="W600" s="250">
        <v>134821.54</v>
      </c>
      <c r="X600" s="229"/>
      <c r="Y600" s="229"/>
      <c r="Z600" s="230"/>
      <c r="AA600" s="229"/>
      <c r="AB600" s="230">
        <f>C600</f>
        <v>9572329.3200000003</v>
      </c>
      <c r="AC600" s="231"/>
      <c r="AD600" s="245" t="s">
        <v>482</v>
      </c>
      <c r="AE600" s="231">
        <v>2025</v>
      </c>
      <c r="AF600" s="91"/>
      <c r="AG600" s="91"/>
    </row>
    <row r="601" spans="1:33" s="26" customFormat="1" ht="24" customHeight="1">
      <c r="A601" s="231">
        <f t="shared" si="240"/>
        <v>182</v>
      </c>
      <c r="B601" s="235" t="s">
        <v>627</v>
      </c>
      <c r="C601" s="232">
        <f t="shared" si="246"/>
        <v>11319715.6</v>
      </c>
      <c r="D601" s="228"/>
      <c r="E601" s="794"/>
      <c r="F601" s="228"/>
      <c r="G601" s="226"/>
      <c r="H601" s="234"/>
      <c r="I601" s="234"/>
      <c r="J601" s="863"/>
      <c r="K601" s="228"/>
      <c r="L601" s="226"/>
      <c r="M601" s="226"/>
      <c r="N601" s="226"/>
      <c r="O601" s="226"/>
      <c r="P601" s="228">
        <v>10628840.939999999</v>
      </c>
      <c r="Q601" s="244"/>
      <c r="R601" s="228"/>
      <c r="S601" s="226"/>
      <c r="T601" s="226"/>
      <c r="U601" s="226"/>
      <c r="V601" s="236">
        <v>531442.05000000005</v>
      </c>
      <c r="W601" s="250">
        <v>159432.60999999999</v>
      </c>
      <c r="X601" s="229"/>
      <c r="Y601" s="229"/>
      <c r="Z601" s="230"/>
      <c r="AA601" s="229"/>
      <c r="AB601" s="230">
        <f>C601</f>
        <v>11319715.6</v>
      </c>
      <c r="AC601" s="231"/>
      <c r="AD601" s="245" t="s">
        <v>482</v>
      </c>
      <c r="AE601" s="231">
        <v>2025</v>
      </c>
      <c r="AF601" s="91"/>
      <c r="AG601" s="91"/>
    </row>
    <row r="602" spans="1:33" s="26" customFormat="1" ht="24" customHeight="1">
      <c r="A602" s="231">
        <f t="shared" si="240"/>
        <v>183</v>
      </c>
      <c r="B602" s="249" t="s">
        <v>291</v>
      </c>
      <c r="C602" s="232">
        <f t="shared" si="246"/>
        <v>27755973.010000002</v>
      </c>
      <c r="D602" s="228"/>
      <c r="E602" s="257"/>
      <c r="F602" s="229"/>
      <c r="G602" s="226"/>
      <c r="H602" s="234"/>
      <c r="I602" s="234"/>
      <c r="J602" s="856"/>
      <c r="K602" s="236"/>
      <c r="L602" s="226"/>
      <c r="M602" s="227"/>
      <c r="N602" s="227"/>
      <c r="O602" s="227"/>
      <c r="P602" s="247">
        <v>26061946.489999998</v>
      </c>
      <c r="Q602" s="226"/>
      <c r="R602" s="228"/>
      <c r="S602" s="228"/>
      <c r="T602" s="228"/>
      <c r="U602" s="228"/>
      <c r="V602" s="236">
        <v>1303097.32</v>
      </c>
      <c r="W602" s="309">
        <f t="shared" ref="W602" si="251">ROUND((D602+F602+G602+H602+I602+L602+M602+O602+P602+Q602+R602+S602)*1.5%,2)</f>
        <v>390929.2</v>
      </c>
      <c r="X602" s="229"/>
      <c r="Y602" s="229"/>
      <c r="Z602" s="229"/>
      <c r="AA602" s="229"/>
      <c r="AB602" s="230">
        <f>C602</f>
        <v>27755973.010000002</v>
      </c>
      <c r="AC602" s="231"/>
      <c r="AD602" s="231">
        <v>2024</v>
      </c>
      <c r="AE602" s="231">
        <v>2025</v>
      </c>
      <c r="AF602" s="91"/>
      <c r="AG602" s="91"/>
    </row>
    <row r="603" spans="1:33" s="26" customFormat="1" ht="24" customHeight="1">
      <c r="A603" s="231">
        <f t="shared" si="240"/>
        <v>184</v>
      </c>
      <c r="B603" s="435" t="s">
        <v>771</v>
      </c>
      <c r="C603" s="418">
        <f t="shared" si="246"/>
        <v>1823583.66</v>
      </c>
      <c r="D603" s="428"/>
      <c r="E603" s="734">
        <v>1</v>
      </c>
      <c r="F603" s="447">
        <v>1589422.96</v>
      </c>
      <c r="G603" s="421"/>
      <c r="H603" s="429"/>
      <c r="I603" s="429"/>
      <c r="J603" s="855"/>
      <c r="K603" s="417"/>
      <c r="L603" s="421"/>
      <c r="M603" s="422"/>
      <c r="N603" s="422"/>
      <c r="O603" s="422"/>
      <c r="P603" s="436"/>
      <c r="Q603" s="421"/>
      <c r="R603" s="428"/>
      <c r="S603" s="421"/>
      <c r="T603" s="421"/>
      <c r="U603" s="421"/>
      <c r="V603" s="448">
        <v>224000</v>
      </c>
      <c r="W603" s="735">
        <v>10160.700000000001</v>
      </c>
      <c r="X603" s="420"/>
      <c r="Y603" s="420"/>
      <c r="Z603" s="425">
        <f>C603</f>
        <v>1823583.66</v>
      </c>
      <c r="AA603" s="420"/>
      <c r="AB603" s="425"/>
      <c r="AC603" s="426"/>
      <c r="AD603" s="245" t="s">
        <v>482</v>
      </c>
      <c r="AE603" s="231">
        <v>2024</v>
      </c>
      <c r="AF603" s="91"/>
      <c r="AG603" s="91"/>
    </row>
    <row r="604" spans="1:33" s="26" customFormat="1" ht="24" customHeight="1">
      <c r="A604" s="231">
        <f t="shared" si="240"/>
        <v>185</v>
      </c>
      <c r="B604" s="665" t="s">
        <v>818</v>
      </c>
      <c r="C604" s="649">
        <f t="shared" si="246"/>
        <v>8196157.8200000003</v>
      </c>
      <c r="D604" s="659"/>
      <c r="E604" s="753"/>
      <c r="F604" s="666"/>
      <c r="G604" s="661"/>
      <c r="H604" s="662"/>
      <c r="I604" s="662"/>
      <c r="J604" s="648"/>
      <c r="K604" s="664"/>
      <c r="L604" s="661"/>
      <c r="M604" s="663"/>
      <c r="N604" s="663"/>
      <c r="O604" s="663"/>
      <c r="P604" s="671">
        <v>7663407.5599999996</v>
      </c>
      <c r="Q604" s="661"/>
      <c r="R604" s="659"/>
      <c r="S604" s="661"/>
      <c r="T604" s="661"/>
      <c r="U604" s="661"/>
      <c r="V604" s="672">
        <v>409807.89</v>
      </c>
      <c r="W604" s="761">
        <v>122942.37</v>
      </c>
      <c r="X604" s="660"/>
      <c r="Y604" s="660"/>
      <c r="Z604" s="654">
        <f>C604</f>
        <v>8196157.8200000003</v>
      </c>
      <c r="AA604" s="660"/>
      <c r="AB604" s="654"/>
      <c r="AC604" s="648"/>
      <c r="AD604" s="670" t="s">
        <v>482</v>
      </c>
      <c r="AE604" s="648">
        <v>2025</v>
      </c>
      <c r="AF604" s="25"/>
      <c r="AG604" s="91"/>
    </row>
    <row r="605" spans="1:33" s="26" customFormat="1" ht="24" customHeight="1">
      <c r="A605" s="231">
        <f t="shared" si="240"/>
        <v>186</v>
      </c>
      <c r="B605" s="235" t="s">
        <v>622</v>
      </c>
      <c r="C605" s="232">
        <f t="shared" si="246"/>
        <v>1861001.14</v>
      </c>
      <c r="D605" s="228"/>
      <c r="E605" s="257">
        <v>1</v>
      </c>
      <c r="F605" s="237">
        <v>1612809</v>
      </c>
      <c r="G605" s="226"/>
      <c r="H605" s="228"/>
      <c r="I605" s="234"/>
      <c r="J605" s="560"/>
      <c r="K605" s="236"/>
      <c r="L605" s="226"/>
      <c r="M605" s="227"/>
      <c r="N605" s="227"/>
      <c r="O605" s="227"/>
      <c r="P605" s="229"/>
      <c r="Q605" s="228"/>
      <c r="R605" s="229"/>
      <c r="S605" s="226"/>
      <c r="T605" s="226"/>
      <c r="U605" s="226"/>
      <c r="V605" s="248">
        <v>224000</v>
      </c>
      <c r="W605" s="309">
        <v>24192.14</v>
      </c>
      <c r="X605" s="229"/>
      <c r="Y605" s="229"/>
      <c r="Z605" s="230"/>
      <c r="AA605" s="229"/>
      <c r="AB605" s="230">
        <f t="shared" ref="AB605:AB606" si="252">C605</f>
        <v>1861001.14</v>
      </c>
      <c r="AC605" s="231"/>
      <c r="AD605" s="231">
        <v>2024</v>
      </c>
      <c r="AE605" s="231">
        <v>2025</v>
      </c>
      <c r="AF605" s="91"/>
      <c r="AG605" s="91"/>
    </row>
    <row r="606" spans="1:33" s="26" customFormat="1" ht="24" customHeight="1">
      <c r="A606" s="231">
        <f t="shared" si="240"/>
        <v>187</v>
      </c>
      <c r="B606" s="235" t="s">
        <v>975</v>
      </c>
      <c r="C606" s="232">
        <f t="shared" si="246"/>
        <v>1861001.14</v>
      </c>
      <c r="D606" s="228"/>
      <c r="E606" s="257">
        <v>1</v>
      </c>
      <c r="F606" s="237">
        <v>1612809</v>
      </c>
      <c r="G606" s="226"/>
      <c r="H606" s="228"/>
      <c r="I606" s="234"/>
      <c r="J606" s="560"/>
      <c r="K606" s="236"/>
      <c r="L606" s="226"/>
      <c r="M606" s="227"/>
      <c r="N606" s="227"/>
      <c r="O606" s="227"/>
      <c r="P606" s="227"/>
      <c r="Q606" s="226"/>
      <c r="R606" s="229"/>
      <c r="S606" s="226"/>
      <c r="T606" s="226"/>
      <c r="U606" s="226"/>
      <c r="V606" s="248">
        <v>224000</v>
      </c>
      <c r="W606" s="309">
        <v>24192.14</v>
      </c>
      <c r="X606" s="229"/>
      <c r="Y606" s="229"/>
      <c r="Z606" s="230"/>
      <c r="AA606" s="229"/>
      <c r="AB606" s="230">
        <f t="shared" si="252"/>
        <v>1861001.14</v>
      </c>
      <c r="AC606" s="231"/>
      <c r="AD606" s="231">
        <v>2024</v>
      </c>
      <c r="AE606" s="231">
        <v>2024</v>
      </c>
      <c r="AF606" s="91"/>
      <c r="AG606" s="91"/>
    </row>
    <row r="607" spans="1:33" s="26" customFormat="1" ht="24" customHeight="1">
      <c r="A607" s="231">
        <f t="shared" si="240"/>
        <v>188</v>
      </c>
      <c r="B607" s="667" t="s">
        <v>516</v>
      </c>
      <c r="C607" s="649">
        <f t="shared" si="246"/>
        <v>36431144.039999999</v>
      </c>
      <c r="D607" s="659"/>
      <c r="E607" s="658"/>
      <c r="F607" s="659"/>
      <c r="G607" s="661"/>
      <c r="H607" s="662"/>
      <c r="I607" s="662"/>
      <c r="J607" s="649"/>
      <c r="K607" s="114"/>
      <c r="L607" s="661"/>
      <c r="M607" s="661"/>
      <c r="N607" s="661"/>
      <c r="O607" s="661"/>
      <c r="P607" s="673">
        <v>14844359.74</v>
      </c>
      <c r="Q607" s="674"/>
      <c r="R607" s="659">
        <v>19850948.5</v>
      </c>
      <c r="S607" s="661"/>
      <c r="T607" s="661"/>
      <c r="U607" s="661"/>
      <c r="V607" s="675">
        <f>993617.81+742217.99</f>
        <v>1735835.8</v>
      </c>
      <c r="W607" s="673"/>
      <c r="X607" s="660"/>
      <c r="Y607" s="660"/>
      <c r="Z607" s="654">
        <f t="shared" ref="Z607:Z608" si="253">C607</f>
        <v>36431144.039999999</v>
      </c>
      <c r="AA607" s="660"/>
      <c r="AB607" s="654"/>
      <c r="AC607" s="648"/>
      <c r="AD607" s="648">
        <v>2024</v>
      </c>
      <c r="AE607" s="648">
        <v>2024</v>
      </c>
      <c r="AF607" s="91"/>
      <c r="AG607" s="91"/>
    </row>
    <row r="608" spans="1:33" s="26" customFormat="1" ht="24" customHeight="1">
      <c r="A608" s="231">
        <f t="shared" si="240"/>
        <v>189</v>
      </c>
      <c r="B608" s="667" t="s">
        <v>478</v>
      </c>
      <c r="C608" s="649">
        <f t="shared" si="246"/>
        <v>11881307.51</v>
      </c>
      <c r="D608" s="659"/>
      <c r="E608" s="753"/>
      <c r="F608" s="660"/>
      <c r="G608" s="661"/>
      <c r="H608" s="662"/>
      <c r="I608" s="662"/>
      <c r="J608" s="648"/>
      <c r="K608" s="577"/>
      <c r="L608" s="578"/>
      <c r="M608" s="579"/>
      <c r="N608" s="579"/>
      <c r="O608" s="579"/>
      <c r="P608" s="617">
        <v>6780082.0099999998</v>
      </c>
      <c r="Q608" s="578"/>
      <c r="R608" s="428">
        <v>4535053.5999999996</v>
      </c>
      <c r="S608" s="428"/>
      <c r="T608" s="428"/>
      <c r="U608" s="428"/>
      <c r="V608" s="428">
        <v>566171.9</v>
      </c>
      <c r="W608" s="735">
        <v>0</v>
      </c>
      <c r="X608" s="420"/>
      <c r="Y608" s="420"/>
      <c r="Z608" s="425">
        <f t="shared" si="253"/>
        <v>11881307.51</v>
      </c>
      <c r="AA608" s="420"/>
      <c r="AB608" s="425"/>
      <c r="AC608" s="426"/>
      <c r="AD608" s="426">
        <v>2024</v>
      </c>
      <c r="AE608" s="426">
        <v>2024</v>
      </c>
      <c r="AF608" s="91"/>
      <c r="AG608" s="91"/>
    </row>
    <row r="609" spans="1:33" s="26" customFormat="1" ht="24" customHeight="1">
      <c r="A609" s="231">
        <f t="shared" si="240"/>
        <v>190</v>
      </c>
      <c r="B609" s="235" t="s">
        <v>292</v>
      </c>
      <c r="C609" s="232">
        <f t="shared" si="246"/>
        <v>11385968.25</v>
      </c>
      <c r="D609" s="228"/>
      <c r="E609" s="257"/>
      <c r="F609" s="229"/>
      <c r="G609" s="182"/>
      <c r="H609" s="234"/>
      <c r="I609" s="234"/>
      <c r="J609" s="560"/>
      <c r="K609" s="225"/>
      <c r="L609" s="182"/>
      <c r="M609" s="185"/>
      <c r="N609" s="185"/>
      <c r="O609" s="185"/>
      <c r="P609" s="207">
        <v>6500829.71</v>
      </c>
      <c r="Q609" s="182"/>
      <c r="R609" s="228">
        <v>4342949.58</v>
      </c>
      <c r="S609" s="228"/>
      <c r="T609" s="228"/>
      <c r="U609" s="228"/>
      <c r="V609" s="228">
        <f>217147.48+325041.48</f>
        <v>542188.96</v>
      </c>
      <c r="W609" s="309">
        <v>0</v>
      </c>
      <c r="X609" s="229"/>
      <c r="Y609" s="229"/>
      <c r="Z609" s="230">
        <f t="shared" ref="Z609" si="254">C609</f>
        <v>11385968.25</v>
      </c>
      <c r="AA609" s="229"/>
      <c r="AB609" s="230"/>
      <c r="AC609" s="231"/>
      <c r="AD609" s="231">
        <v>2024</v>
      </c>
      <c r="AE609" s="231">
        <v>2024</v>
      </c>
      <c r="AF609" s="91"/>
      <c r="AG609" s="91"/>
    </row>
    <row r="610" spans="1:33" s="26" customFormat="1" ht="24" customHeight="1">
      <c r="A610" s="231">
        <f t="shared" si="240"/>
        <v>191</v>
      </c>
      <c r="B610" s="235" t="s">
        <v>623</v>
      </c>
      <c r="C610" s="232">
        <f t="shared" si="246"/>
        <v>1861001.14</v>
      </c>
      <c r="D610" s="228"/>
      <c r="E610" s="257">
        <v>1</v>
      </c>
      <c r="F610" s="237">
        <v>1612809</v>
      </c>
      <c r="G610" s="226"/>
      <c r="H610" s="228"/>
      <c r="I610" s="234"/>
      <c r="J610" s="560"/>
      <c r="K610" s="236"/>
      <c r="L610" s="226"/>
      <c r="M610" s="227"/>
      <c r="N610" s="227"/>
      <c r="O610" s="227"/>
      <c r="P610" s="229"/>
      <c r="Q610" s="228"/>
      <c r="R610" s="229"/>
      <c r="S610" s="226"/>
      <c r="T610" s="226"/>
      <c r="U610" s="226"/>
      <c r="V610" s="248">
        <v>224000</v>
      </c>
      <c r="W610" s="309">
        <v>24192.14</v>
      </c>
      <c r="X610" s="229"/>
      <c r="Y610" s="229"/>
      <c r="Z610" s="230"/>
      <c r="AA610" s="229"/>
      <c r="AB610" s="230">
        <f>C610</f>
        <v>1861001.14</v>
      </c>
      <c r="AC610" s="231"/>
      <c r="AD610" s="231">
        <v>2024</v>
      </c>
      <c r="AE610" s="231">
        <v>2025</v>
      </c>
      <c r="AF610" s="91"/>
      <c r="AG610" s="91"/>
    </row>
    <row r="611" spans="1:33" s="26" customFormat="1" ht="24" customHeight="1">
      <c r="A611" s="231">
        <f t="shared" si="240"/>
        <v>192</v>
      </c>
      <c r="B611" s="235" t="s">
        <v>481</v>
      </c>
      <c r="C611" s="232">
        <f t="shared" si="246"/>
        <v>17782868.129999999</v>
      </c>
      <c r="D611" s="228"/>
      <c r="E611" s="257">
        <v>1</v>
      </c>
      <c r="F611" s="237">
        <v>1612809</v>
      </c>
      <c r="G611" s="226"/>
      <c r="H611" s="234"/>
      <c r="I611" s="234"/>
      <c r="J611" s="560"/>
      <c r="K611" s="224"/>
      <c r="L611" s="226"/>
      <c r="M611" s="227"/>
      <c r="N611" s="227"/>
      <c r="O611" s="227"/>
      <c r="P611" s="251">
        <v>8299656.8899999997</v>
      </c>
      <c r="Q611" s="226"/>
      <c r="R611" s="228">
        <v>6760836.3799999999</v>
      </c>
      <c r="S611" s="228"/>
      <c r="T611" s="228"/>
      <c r="U611" s="228"/>
      <c r="V611" s="228">
        <f>753024.66+224000</f>
        <v>977024.66</v>
      </c>
      <c r="W611" s="309">
        <f>48639.2+59709.86+24192.14</f>
        <v>132541.20000000001</v>
      </c>
      <c r="X611" s="229"/>
      <c r="Y611" s="229"/>
      <c r="Z611" s="230">
        <f>C611-AB611</f>
        <v>15921866.99</v>
      </c>
      <c r="AA611" s="229"/>
      <c r="AB611" s="230">
        <f>F611+224000+24192.14</f>
        <v>1861001.14</v>
      </c>
      <c r="AC611" s="231"/>
      <c r="AD611" s="231">
        <v>2024</v>
      </c>
      <c r="AE611" s="231">
        <v>2025</v>
      </c>
      <c r="AF611" s="91"/>
      <c r="AG611" s="91"/>
    </row>
    <row r="612" spans="1:33" s="26" customFormat="1" ht="24" customHeight="1">
      <c r="A612" s="231">
        <f t="shared" si="240"/>
        <v>193</v>
      </c>
      <c r="B612" s="61" t="s">
        <v>603</v>
      </c>
      <c r="C612" s="4">
        <f t="shared" si="216"/>
        <v>5582994.0599999996</v>
      </c>
      <c r="D612" s="9"/>
      <c r="E612" s="87"/>
      <c r="F612" s="21"/>
      <c r="G612" s="12"/>
      <c r="H612" s="13"/>
      <c r="I612" s="13"/>
      <c r="J612" s="862"/>
      <c r="K612" s="105"/>
      <c r="L612" s="12"/>
      <c r="M612" s="22"/>
      <c r="N612" s="22"/>
      <c r="O612" s="22"/>
      <c r="P612" s="104"/>
      <c r="Q612" s="12">
        <v>1640899.49</v>
      </c>
      <c r="R612" s="9"/>
      <c r="S612" s="12">
        <v>3601348.45</v>
      </c>
      <c r="T612" s="109"/>
      <c r="U612" s="109"/>
      <c r="V612" s="9">
        <v>262112.4</v>
      </c>
      <c r="W612" s="86">
        <v>78633.72</v>
      </c>
      <c r="X612" s="21"/>
      <c r="Y612" s="21"/>
      <c r="Z612" s="24"/>
      <c r="AA612" s="21"/>
      <c r="AB612" s="24">
        <f>C612</f>
        <v>5582994.0599999996</v>
      </c>
      <c r="AC612" s="18"/>
      <c r="AD612" s="18">
        <v>2024</v>
      </c>
      <c r="AE612" s="18">
        <v>2025</v>
      </c>
      <c r="AF612" s="25"/>
      <c r="AG612" s="91"/>
    </row>
    <row r="613" spans="1:33" s="26" customFormat="1" ht="24" customHeight="1">
      <c r="A613" s="231">
        <f t="shared" si="240"/>
        <v>194</v>
      </c>
      <c r="B613" s="176" t="s">
        <v>768</v>
      </c>
      <c r="C613" s="4">
        <f t="shared" si="216"/>
        <v>1861001.14</v>
      </c>
      <c r="D613" s="160"/>
      <c r="E613" s="87">
        <v>1</v>
      </c>
      <c r="F613" s="172">
        <v>1612809</v>
      </c>
      <c r="G613" s="155"/>
      <c r="H613" s="162"/>
      <c r="I613" s="162"/>
      <c r="J613" s="865"/>
      <c r="K613" s="102"/>
      <c r="L613" s="155"/>
      <c r="M613" s="157"/>
      <c r="N613" s="157"/>
      <c r="O613" s="157"/>
      <c r="P613" s="154"/>
      <c r="Q613" s="155"/>
      <c r="R613" s="160"/>
      <c r="S613" s="155"/>
      <c r="T613" s="155"/>
      <c r="U613" s="155"/>
      <c r="V613" s="171">
        <v>224000</v>
      </c>
      <c r="W613" s="815">
        <v>24192.14</v>
      </c>
      <c r="X613" s="161"/>
      <c r="Y613" s="161"/>
      <c r="Z613" s="159"/>
      <c r="AA613" s="161"/>
      <c r="AB613" s="24">
        <f>C613</f>
        <v>1861001.14</v>
      </c>
      <c r="AC613" s="163"/>
      <c r="AD613" s="18">
        <v>2024</v>
      </c>
      <c r="AE613" s="18">
        <v>2025</v>
      </c>
      <c r="AF613" s="25"/>
      <c r="AG613" s="91"/>
    </row>
    <row r="614" spans="1:33" s="26" customFormat="1" ht="24" customHeight="1">
      <c r="A614" s="231">
        <f t="shared" si="240"/>
        <v>195</v>
      </c>
      <c r="B614" s="61" t="s">
        <v>609</v>
      </c>
      <c r="C614" s="4">
        <f t="shared" si="216"/>
        <v>2908252.06</v>
      </c>
      <c r="D614" s="108">
        <v>2730753.1</v>
      </c>
      <c r="E614" s="124"/>
      <c r="F614" s="107"/>
      <c r="G614" s="109"/>
      <c r="H614" s="110"/>
      <c r="I614" s="110"/>
      <c r="J614" s="866"/>
      <c r="K614" s="102"/>
      <c r="L614" s="109"/>
      <c r="M614" s="113"/>
      <c r="N614" s="113"/>
      <c r="O614" s="113"/>
      <c r="P614" s="133"/>
      <c r="Q614" s="109"/>
      <c r="R614" s="108"/>
      <c r="S614" s="109"/>
      <c r="T614" s="109"/>
      <c r="U614" s="109"/>
      <c r="V614" s="108">
        <v>136537.66</v>
      </c>
      <c r="W614" s="814">
        <v>40961.300000000003</v>
      </c>
      <c r="X614" s="107"/>
      <c r="Y614" s="107"/>
      <c r="Z614" s="111"/>
      <c r="AA614" s="107"/>
      <c r="AB614" s="111">
        <f>C614</f>
        <v>2908252.06</v>
      </c>
      <c r="AC614" s="112"/>
      <c r="AD614" s="112">
        <v>2024</v>
      </c>
      <c r="AE614" s="112">
        <v>2025</v>
      </c>
      <c r="AF614" s="25"/>
      <c r="AG614" s="91"/>
    </row>
    <row r="615" spans="1:33" s="26" customFormat="1" ht="24" customHeight="1">
      <c r="A615" s="231">
        <f t="shared" si="240"/>
        <v>196</v>
      </c>
      <c r="B615" s="61" t="s">
        <v>610</v>
      </c>
      <c r="C615" s="4">
        <f t="shared" si="216"/>
        <v>83717573.180000007</v>
      </c>
      <c r="D615" s="108">
        <v>10334169.92</v>
      </c>
      <c r="E615" s="124"/>
      <c r="F615" s="107"/>
      <c r="G615" s="109">
        <v>7106394.6399999997</v>
      </c>
      <c r="H615" s="110">
        <v>10199425.67</v>
      </c>
      <c r="I615" s="110">
        <v>39043613.869999997</v>
      </c>
      <c r="J615" s="866"/>
      <c r="K615" s="102"/>
      <c r="L615" s="109">
        <v>11924445.83</v>
      </c>
      <c r="M615" s="113"/>
      <c r="N615" s="113"/>
      <c r="O615" s="113"/>
      <c r="P615" s="133"/>
      <c r="Q615" s="109"/>
      <c r="R615" s="108"/>
      <c r="S615" s="109"/>
      <c r="T615" s="109"/>
      <c r="U615" s="109"/>
      <c r="V615" s="108">
        <v>3930402.5</v>
      </c>
      <c r="W615" s="814">
        <v>1179120.75</v>
      </c>
      <c r="X615" s="107"/>
      <c r="Y615" s="107"/>
      <c r="Z615" s="111"/>
      <c r="AA615" s="107"/>
      <c r="AB615" s="111">
        <f>C615</f>
        <v>83717573.180000007</v>
      </c>
      <c r="AC615" s="112"/>
      <c r="AD615" s="112">
        <v>2024</v>
      </c>
      <c r="AE615" s="112">
        <v>2025</v>
      </c>
      <c r="AF615" s="25"/>
      <c r="AG615" s="91"/>
    </row>
    <row r="616" spans="1:33" s="26" customFormat="1" ht="24" customHeight="1">
      <c r="A616" s="231">
        <f t="shared" si="240"/>
        <v>197</v>
      </c>
      <c r="B616" s="445" t="s">
        <v>495</v>
      </c>
      <c r="C616" s="418">
        <f t="shared" si="216"/>
        <v>6062829.7400000002</v>
      </c>
      <c r="D616" s="428"/>
      <c r="E616" s="563"/>
      <c r="F616" s="428"/>
      <c r="G616" s="421"/>
      <c r="H616" s="429"/>
      <c r="I616" s="429"/>
      <c r="J616" s="864">
        <v>2</v>
      </c>
      <c r="K616" s="428">
        <v>5587323.5</v>
      </c>
      <c r="L616" s="421"/>
      <c r="M616" s="421"/>
      <c r="N616" s="421"/>
      <c r="O616" s="421"/>
      <c r="P616" s="428"/>
      <c r="Q616" s="443"/>
      <c r="R616" s="428"/>
      <c r="S616" s="421"/>
      <c r="T616" s="421"/>
      <c r="U616" s="421"/>
      <c r="V616" s="417">
        <v>462642.96</v>
      </c>
      <c r="W616" s="446">
        <v>12863.28</v>
      </c>
      <c r="X616" s="420"/>
      <c r="Y616" s="420"/>
      <c r="Z616" s="425">
        <f t="shared" ref="Z616:Z619" si="255">C616</f>
        <v>6062829.7400000002</v>
      </c>
      <c r="AA616" s="420"/>
      <c r="AB616" s="425"/>
      <c r="AC616" s="426"/>
      <c r="AD616" s="245" t="s">
        <v>482</v>
      </c>
      <c r="AE616" s="231">
        <v>2024</v>
      </c>
      <c r="AF616" s="91"/>
      <c r="AG616" s="91"/>
    </row>
    <row r="617" spans="1:33" s="26" customFormat="1" ht="24" customHeight="1">
      <c r="A617" s="231">
        <f t="shared" si="240"/>
        <v>198</v>
      </c>
      <c r="B617" s="445" t="s">
        <v>496</v>
      </c>
      <c r="C617" s="418">
        <f t="shared" si="216"/>
        <v>3148923.68</v>
      </c>
      <c r="D617" s="428"/>
      <c r="E617" s="563"/>
      <c r="F617" s="428"/>
      <c r="G617" s="421"/>
      <c r="H617" s="429"/>
      <c r="I617" s="429"/>
      <c r="J617" s="864">
        <v>1</v>
      </c>
      <c r="K617" s="428">
        <v>2904738.92</v>
      </c>
      <c r="L617" s="421"/>
      <c r="M617" s="421"/>
      <c r="N617" s="421"/>
      <c r="O617" s="421"/>
      <c r="P617" s="428"/>
      <c r="Q617" s="443"/>
      <c r="R617" s="428"/>
      <c r="S617" s="421"/>
      <c r="T617" s="421"/>
      <c r="U617" s="421"/>
      <c r="V617" s="417">
        <v>231321.48</v>
      </c>
      <c r="W617" s="446">
        <v>12863.28</v>
      </c>
      <c r="X617" s="420"/>
      <c r="Y617" s="420"/>
      <c r="Z617" s="425">
        <f t="shared" si="255"/>
        <v>3148923.68</v>
      </c>
      <c r="AA617" s="420"/>
      <c r="AB617" s="425"/>
      <c r="AC617" s="426"/>
      <c r="AD617" s="245" t="s">
        <v>482</v>
      </c>
      <c r="AE617" s="231">
        <v>2024</v>
      </c>
      <c r="AF617" s="91"/>
      <c r="AG617" s="91"/>
    </row>
    <row r="618" spans="1:33" s="26" customFormat="1" ht="24" customHeight="1">
      <c r="A618" s="231">
        <f t="shared" si="240"/>
        <v>199</v>
      </c>
      <c r="B618" s="445" t="s">
        <v>497</v>
      </c>
      <c r="C618" s="418">
        <f t="shared" si="216"/>
        <v>8955938.1500000004</v>
      </c>
      <c r="D618" s="428"/>
      <c r="E618" s="734"/>
      <c r="F618" s="420"/>
      <c r="G618" s="421"/>
      <c r="H618" s="429"/>
      <c r="I618" s="429"/>
      <c r="J618" s="864">
        <v>3</v>
      </c>
      <c r="K618" s="428">
        <v>8249110.4299999997</v>
      </c>
      <c r="L618" s="421"/>
      <c r="M618" s="421"/>
      <c r="N618" s="422"/>
      <c r="O618" s="422"/>
      <c r="P618" s="427"/>
      <c r="Q618" s="428"/>
      <c r="R618" s="428"/>
      <c r="S618" s="421"/>
      <c r="T618" s="421"/>
      <c r="U618" s="421"/>
      <c r="V618" s="417">
        <v>693964.44</v>
      </c>
      <c r="W618" s="446">
        <v>12863.28</v>
      </c>
      <c r="X618" s="420"/>
      <c r="Y618" s="420"/>
      <c r="Z618" s="425">
        <f t="shared" si="255"/>
        <v>8955938.1500000004</v>
      </c>
      <c r="AA618" s="420"/>
      <c r="AB618" s="425"/>
      <c r="AC618" s="426"/>
      <c r="AD618" s="231">
        <v>2024</v>
      </c>
      <c r="AE618" s="231">
        <v>2024</v>
      </c>
      <c r="AF618" s="91"/>
      <c r="AG618" s="91"/>
    </row>
    <row r="619" spans="1:33" s="26" customFormat="1" ht="24" customHeight="1">
      <c r="A619" s="231">
        <f t="shared" si="240"/>
        <v>200</v>
      </c>
      <c r="B619" s="445" t="s">
        <v>498</v>
      </c>
      <c r="C619" s="418">
        <f t="shared" si="216"/>
        <v>8567306.5800000001</v>
      </c>
      <c r="D619" s="428"/>
      <c r="E619" s="734"/>
      <c r="F619" s="420"/>
      <c r="G619" s="421"/>
      <c r="H619" s="429"/>
      <c r="I619" s="429"/>
      <c r="J619" s="864">
        <v>3</v>
      </c>
      <c r="K619" s="428">
        <v>7860478.79</v>
      </c>
      <c r="L619" s="421"/>
      <c r="M619" s="421"/>
      <c r="N619" s="422"/>
      <c r="O619" s="422"/>
      <c r="P619" s="427"/>
      <c r="Q619" s="428"/>
      <c r="R619" s="428"/>
      <c r="S619" s="421"/>
      <c r="T619" s="421"/>
      <c r="U619" s="421"/>
      <c r="V619" s="417">
        <v>693964.51</v>
      </c>
      <c r="W619" s="446">
        <v>12863.28</v>
      </c>
      <c r="X619" s="420"/>
      <c r="Y619" s="420"/>
      <c r="Z619" s="425">
        <f t="shared" si="255"/>
        <v>8567306.5800000001</v>
      </c>
      <c r="AA619" s="420"/>
      <c r="AB619" s="425"/>
      <c r="AC619" s="426"/>
      <c r="AD619" s="231">
        <v>2024</v>
      </c>
      <c r="AE619" s="231">
        <v>2024</v>
      </c>
      <c r="AF619" s="91"/>
      <c r="AG619" s="91"/>
    </row>
    <row r="620" spans="1:33" s="26" customFormat="1" ht="24" customHeight="1">
      <c r="A620" s="231">
        <f t="shared" si="240"/>
        <v>201</v>
      </c>
      <c r="B620" s="235" t="s">
        <v>499</v>
      </c>
      <c r="C620" s="232">
        <f t="shared" si="216"/>
        <v>9245511.4199999999</v>
      </c>
      <c r="D620" s="228"/>
      <c r="E620" s="257"/>
      <c r="F620" s="229"/>
      <c r="G620" s="182"/>
      <c r="H620" s="234"/>
      <c r="I620" s="234"/>
      <c r="J620" s="863">
        <v>3</v>
      </c>
      <c r="K620" s="307">
        <v>8538683.6999999993</v>
      </c>
      <c r="L620" s="182"/>
      <c r="M620" s="182"/>
      <c r="N620" s="185"/>
      <c r="O620" s="185"/>
      <c r="P620" s="238"/>
      <c r="Q620" s="228"/>
      <c r="R620" s="228"/>
      <c r="S620" s="182"/>
      <c r="T620" s="182"/>
      <c r="U620" s="182"/>
      <c r="V620" s="236">
        <v>693964.44</v>
      </c>
      <c r="W620" s="250">
        <v>12863.28</v>
      </c>
      <c r="X620" s="229"/>
      <c r="Y620" s="229"/>
      <c r="Z620" s="230">
        <f t="shared" ref="Z620" si="256">C620</f>
        <v>9245511.4199999999</v>
      </c>
      <c r="AA620" s="229"/>
      <c r="AB620" s="230"/>
      <c r="AC620" s="231"/>
      <c r="AD620" s="231">
        <v>2024</v>
      </c>
      <c r="AE620" s="231">
        <v>2024</v>
      </c>
      <c r="AF620" s="91"/>
      <c r="AG620" s="91"/>
    </row>
    <row r="621" spans="1:33" s="26" customFormat="1" ht="24" customHeight="1">
      <c r="A621" s="231">
        <f t="shared" si="240"/>
        <v>202</v>
      </c>
      <c r="B621" s="235" t="s">
        <v>300</v>
      </c>
      <c r="C621" s="232">
        <f t="shared" si="216"/>
        <v>1861001.14</v>
      </c>
      <c r="D621" s="228"/>
      <c r="E621" s="257">
        <v>1</v>
      </c>
      <c r="F621" s="237">
        <v>1612809</v>
      </c>
      <c r="G621" s="182"/>
      <c r="H621" s="228"/>
      <c r="I621" s="234"/>
      <c r="J621" s="856"/>
      <c r="K621" s="236"/>
      <c r="L621" s="182"/>
      <c r="M621" s="185"/>
      <c r="N621" s="185"/>
      <c r="O621" s="185"/>
      <c r="P621" s="229"/>
      <c r="Q621" s="228"/>
      <c r="R621" s="229"/>
      <c r="S621" s="182"/>
      <c r="T621" s="182"/>
      <c r="U621" s="182"/>
      <c r="V621" s="248">
        <v>224000</v>
      </c>
      <c r="W621" s="309">
        <v>24192.14</v>
      </c>
      <c r="X621" s="229"/>
      <c r="Y621" s="229"/>
      <c r="Z621" s="230"/>
      <c r="AA621" s="229"/>
      <c r="AB621" s="230">
        <f>C621</f>
        <v>1861001.14</v>
      </c>
      <c r="AC621" s="231"/>
      <c r="AD621" s="231">
        <v>2024</v>
      </c>
      <c r="AE621" s="231">
        <v>2025</v>
      </c>
      <c r="AF621" s="91"/>
      <c r="AG621" s="91"/>
    </row>
    <row r="622" spans="1:33" s="26" customFormat="1" ht="24" customHeight="1">
      <c r="A622" s="231">
        <f t="shared" si="240"/>
        <v>203</v>
      </c>
      <c r="B622" s="235" t="s">
        <v>213</v>
      </c>
      <c r="C622" s="232">
        <f t="shared" si="216"/>
        <v>35145651.719999999</v>
      </c>
      <c r="D622" s="228">
        <f>ROUND(3797.8*589.88,2)</f>
        <v>2240246.2599999998</v>
      </c>
      <c r="E622" s="257"/>
      <c r="F622" s="229"/>
      <c r="G622" s="182">
        <f>ROUND(3797.8*596.38,2)</f>
        <v>2264931.96</v>
      </c>
      <c r="H622" s="234">
        <f>ROUND(3797.8*1074.75,2)</f>
        <v>4081685.55</v>
      </c>
      <c r="I622" s="234">
        <f>ROUND(3797.8*4857.9,2)</f>
        <v>18449332.620000001</v>
      </c>
      <c r="J622" s="856"/>
      <c r="K622" s="225"/>
      <c r="L622" s="182">
        <f>ROUND(3797.8*616.25,2)</f>
        <v>2340394.25</v>
      </c>
      <c r="M622" s="185"/>
      <c r="N622" s="185"/>
      <c r="O622" s="185"/>
      <c r="P622" s="208"/>
      <c r="Q622" s="182"/>
      <c r="R622" s="228"/>
      <c r="S622" s="228">
        <f>ROUND(3797.8*1135.41,2)</f>
        <v>4312060.0999999996</v>
      </c>
      <c r="T622" s="228"/>
      <c r="U622" s="228"/>
      <c r="V622" s="236">
        <v>951671.22</v>
      </c>
      <c r="W622" s="309">
        <v>505329.76</v>
      </c>
      <c r="X622" s="229"/>
      <c r="Y622" s="229"/>
      <c r="Z622" s="229"/>
      <c r="AA622" s="229"/>
      <c r="AB622" s="230">
        <f t="shared" ref="AB622:AB623" si="257">C622</f>
        <v>35145651.719999999</v>
      </c>
      <c r="AC622" s="231"/>
      <c r="AD622" s="231">
        <v>2024</v>
      </c>
      <c r="AE622" s="231">
        <v>2024</v>
      </c>
      <c r="AF622" s="91"/>
      <c r="AG622" s="91"/>
    </row>
    <row r="623" spans="1:33" s="26" customFormat="1" ht="24" customHeight="1">
      <c r="A623" s="231">
        <f t="shared" si="240"/>
        <v>204</v>
      </c>
      <c r="B623" s="235" t="s">
        <v>769</v>
      </c>
      <c r="C623" s="232">
        <f t="shared" si="216"/>
        <v>1861001.14</v>
      </c>
      <c r="D623" s="228"/>
      <c r="E623" s="257">
        <v>1</v>
      </c>
      <c r="F623" s="237">
        <v>1612809</v>
      </c>
      <c r="G623" s="182"/>
      <c r="H623" s="234"/>
      <c r="I623" s="234"/>
      <c r="J623" s="856"/>
      <c r="K623" s="246"/>
      <c r="L623" s="182"/>
      <c r="M623" s="185"/>
      <c r="N623" s="185"/>
      <c r="O623" s="185"/>
      <c r="P623" s="208"/>
      <c r="Q623" s="182"/>
      <c r="R623" s="228"/>
      <c r="S623" s="182"/>
      <c r="T623" s="182"/>
      <c r="U623" s="182"/>
      <c r="V623" s="248">
        <v>224000</v>
      </c>
      <c r="W623" s="309">
        <v>24192.14</v>
      </c>
      <c r="X623" s="229"/>
      <c r="Y623" s="229"/>
      <c r="Z623" s="229"/>
      <c r="AA623" s="229"/>
      <c r="AB623" s="252">
        <f t="shared" si="257"/>
        <v>1861001.14</v>
      </c>
      <c r="AC623" s="231"/>
      <c r="AD623" s="231">
        <v>2024</v>
      </c>
      <c r="AE623" s="231">
        <v>2024</v>
      </c>
      <c r="AF623" s="91"/>
      <c r="AG623" s="91"/>
    </row>
    <row r="624" spans="1:33" s="26" customFormat="1" ht="24" customHeight="1">
      <c r="A624" s="231">
        <f t="shared" si="240"/>
        <v>205</v>
      </c>
      <c r="B624" s="235" t="s">
        <v>776</v>
      </c>
      <c r="C624" s="232">
        <f t="shared" si="216"/>
        <v>1000500</v>
      </c>
      <c r="D624" s="228"/>
      <c r="E624" s="257"/>
      <c r="F624" s="237"/>
      <c r="G624" s="182"/>
      <c r="H624" s="234"/>
      <c r="I624" s="234"/>
      <c r="J624" s="856"/>
      <c r="K624" s="14"/>
      <c r="L624" s="182"/>
      <c r="M624" s="185"/>
      <c r="N624" s="185"/>
      <c r="O624" s="185"/>
      <c r="P624" s="208"/>
      <c r="Q624" s="182"/>
      <c r="R624" s="228"/>
      <c r="S624" s="182"/>
      <c r="T624" s="182"/>
      <c r="U624" s="182"/>
      <c r="V624" s="248">
        <v>1000500</v>
      </c>
      <c r="W624" s="309"/>
      <c r="X624" s="229"/>
      <c r="Y624" s="229"/>
      <c r="Z624" s="240">
        <f>V624</f>
        <v>1000500</v>
      </c>
      <c r="AA624" s="229"/>
      <c r="AB624" s="252"/>
      <c r="AC624" s="231"/>
      <c r="AD624" s="231">
        <v>2024</v>
      </c>
      <c r="AE624" s="231">
        <v>2024</v>
      </c>
      <c r="AF624" s="91"/>
      <c r="AG624" s="91"/>
    </row>
    <row r="625" spans="1:33" s="26" customFormat="1" ht="24" customHeight="1">
      <c r="A625" s="231">
        <f t="shared" ref="A625:A633" si="258">A624+1</f>
        <v>206</v>
      </c>
      <c r="B625" s="249" t="s">
        <v>500</v>
      </c>
      <c r="C625" s="232">
        <f t="shared" si="216"/>
        <v>3265524.76</v>
      </c>
      <c r="D625" s="228"/>
      <c r="E625" s="794"/>
      <c r="F625" s="228"/>
      <c r="G625" s="182"/>
      <c r="H625" s="234"/>
      <c r="I625" s="234"/>
      <c r="J625" s="863">
        <v>1</v>
      </c>
      <c r="K625" s="228">
        <f>2771340+250000</f>
        <v>3021340</v>
      </c>
      <c r="L625" s="182"/>
      <c r="M625" s="182"/>
      <c r="N625" s="182"/>
      <c r="O625" s="182"/>
      <c r="P625" s="228"/>
      <c r="Q625" s="244"/>
      <c r="R625" s="228"/>
      <c r="S625" s="182"/>
      <c r="T625" s="182"/>
      <c r="U625" s="182"/>
      <c r="V625" s="236">
        <v>231321.48</v>
      </c>
      <c r="W625" s="250">
        <v>12863.28</v>
      </c>
      <c r="X625" s="229"/>
      <c r="Y625" s="229"/>
      <c r="Z625" s="230">
        <f t="shared" ref="Z625:Z627" si="259">C625</f>
        <v>3265524.76</v>
      </c>
      <c r="AA625" s="229"/>
      <c r="AB625" s="230"/>
      <c r="AC625" s="231"/>
      <c r="AD625" s="245" t="s">
        <v>482</v>
      </c>
      <c r="AE625" s="231">
        <v>2024</v>
      </c>
      <c r="AF625" s="91"/>
      <c r="AG625" s="91"/>
    </row>
    <row r="626" spans="1:33" s="26" customFormat="1" ht="24" customHeight="1">
      <c r="A626" s="231">
        <f t="shared" si="258"/>
        <v>207</v>
      </c>
      <c r="B626" s="435" t="s">
        <v>501</v>
      </c>
      <c r="C626" s="418">
        <f t="shared" si="216"/>
        <v>3078908.71</v>
      </c>
      <c r="D626" s="428"/>
      <c r="E626" s="563"/>
      <c r="F626" s="428"/>
      <c r="G626" s="421"/>
      <c r="H626" s="429"/>
      <c r="I626" s="429"/>
      <c r="J626" s="864">
        <v>1</v>
      </c>
      <c r="K626" s="428">
        <v>2834723.95</v>
      </c>
      <c r="L626" s="421"/>
      <c r="M626" s="421"/>
      <c r="N626" s="421"/>
      <c r="O626" s="421"/>
      <c r="P626" s="428"/>
      <c r="Q626" s="443"/>
      <c r="R626" s="428"/>
      <c r="S626" s="421"/>
      <c r="T626" s="421"/>
      <c r="U626" s="421"/>
      <c r="V626" s="417">
        <v>231321.48</v>
      </c>
      <c r="W626" s="446">
        <v>12863.28</v>
      </c>
      <c r="X626" s="420"/>
      <c r="Y626" s="420"/>
      <c r="Z626" s="425">
        <f t="shared" si="259"/>
        <v>3078908.71</v>
      </c>
      <c r="AA626" s="420"/>
      <c r="AB626" s="425"/>
      <c r="AC626" s="426"/>
      <c r="AD626" s="245" t="s">
        <v>482</v>
      </c>
      <c r="AE626" s="231">
        <v>2024</v>
      </c>
      <c r="AF626" s="91"/>
      <c r="AG626" s="91"/>
    </row>
    <row r="627" spans="1:33" s="26" customFormat="1" ht="24" customHeight="1">
      <c r="A627" s="231">
        <f t="shared" si="258"/>
        <v>208</v>
      </c>
      <c r="B627" s="435" t="s">
        <v>502</v>
      </c>
      <c r="C627" s="418">
        <f t="shared" si="216"/>
        <v>3096693.02</v>
      </c>
      <c r="D627" s="428"/>
      <c r="E627" s="563"/>
      <c r="F627" s="428"/>
      <c r="G627" s="421"/>
      <c r="H627" s="429"/>
      <c r="I627" s="429"/>
      <c r="J627" s="864">
        <v>1</v>
      </c>
      <c r="K627" s="428">
        <v>2852508.26</v>
      </c>
      <c r="L627" s="421"/>
      <c r="M627" s="421"/>
      <c r="N627" s="421"/>
      <c r="O627" s="421"/>
      <c r="P627" s="428"/>
      <c r="Q627" s="443"/>
      <c r="R627" s="428"/>
      <c r="S627" s="421"/>
      <c r="T627" s="421"/>
      <c r="U627" s="421"/>
      <c r="V627" s="417">
        <v>231321.48</v>
      </c>
      <c r="W627" s="446">
        <v>12863.28</v>
      </c>
      <c r="X627" s="420"/>
      <c r="Y627" s="420"/>
      <c r="Z627" s="425">
        <f t="shared" si="259"/>
        <v>3096693.02</v>
      </c>
      <c r="AA627" s="420"/>
      <c r="AB627" s="425"/>
      <c r="AC627" s="426"/>
      <c r="AD627" s="245" t="s">
        <v>482</v>
      </c>
      <c r="AE627" s="231">
        <v>2024</v>
      </c>
      <c r="AF627" s="91"/>
      <c r="AG627" s="91"/>
    </row>
    <row r="628" spans="1:33" s="26" customFormat="1" ht="24" customHeight="1">
      <c r="A628" s="231">
        <f t="shared" si="258"/>
        <v>209</v>
      </c>
      <c r="B628" s="235" t="s">
        <v>890</v>
      </c>
      <c r="C628" s="232">
        <f t="shared" si="216"/>
        <v>1861001.14</v>
      </c>
      <c r="D628" s="228"/>
      <c r="E628" s="257">
        <v>1</v>
      </c>
      <c r="F628" s="237">
        <v>1612809</v>
      </c>
      <c r="G628" s="182"/>
      <c r="H628" s="228"/>
      <c r="I628" s="234"/>
      <c r="J628" s="856"/>
      <c r="K628" s="102"/>
      <c r="L628" s="182"/>
      <c r="M628" s="185"/>
      <c r="N628" s="185"/>
      <c r="O628" s="185"/>
      <c r="P628" s="229"/>
      <c r="Q628" s="228"/>
      <c r="R628" s="229"/>
      <c r="S628" s="182"/>
      <c r="T628" s="182"/>
      <c r="U628" s="182"/>
      <c r="V628" s="248">
        <v>224000</v>
      </c>
      <c r="W628" s="309">
        <v>24192.14</v>
      </c>
      <c r="X628" s="229"/>
      <c r="Y628" s="229"/>
      <c r="Z628" s="230"/>
      <c r="AA628" s="229"/>
      <c r="AB628" s="230">
        <f>C628</f>
        <v>1861001.14</v>
      </c>
      <c r="AC628" s="231"/>
      <c r="AD628" s="231">
        <v>2024</v>
      </c>
      <c r="AE628" s="231">
        <v>2025</v>
      </c>
      <c r="AF628" s="91"/>
      <c r="AG628" s="91"/>
    </row>
    <row r="629" spans="1:33" s="26" customFormat="1" ht="24" customHeight="1">
      <c r="A629" s="231">
        <f t="shared" si="258"/>
        <v>210</v>
      </c>
      <c r="B629" s="235" t="s">
        <v>909</v>
      </c>
      <c r="C629" s="232">
        <f t="shared" si="216"/>
        <v>23370479.960000001</v>
      </c>
      <c r="D629" s="228"/>
      <c r="E629" s="257"/>
      <c r="F629" s="229"/>
      <c r="G629" s="182"/>
      <c r="H629" s="234"/>
      <c r="I629" s="234"/>
      <c r="J629" s="856"/>
      <c r="K629" s="225"/>
      <c r="L629" s="182"/>
      <c r="M629" s="185"/>
      <c r="N629" s="185"/>
      <c r="O629" s="185"/>
      <c r="P629" s="208">
        <v>9517024.0600000005</v>
      </c>
      <c r="Q629" s="207"/>
      <c r="R629" s="253">
        <v>12740575.9</v>
      </c>
      <c r="S629" s="228"/>
      <c r="T629" s="228"/>
      <c r="U629" s="228"/>
      <c r="V629" s="236">
        <f>637028.8+475851.2</f>
        <v>1112880</v>
      </c>
      <c r="W629" s="309">
        <v>0</v>
      </c>
      <c r="X629" s="229"/>
      <c r="Y629" s="229"/>
      <c r="Z629" s="230">
        <f t="shared" ref="Z629:Z632" si="260">C629</f>
        <v>23370479.960000001</v>
      </c>
      <c r="AA629" s="229"/>
      <c r="AB629" s="230"/>
      <c r="AC629" s="231"/>
      <c r="AD629" s="231">
        <v>2024</v>
      </c>
      <c r="AE629" s="231">
        <v>2024</v>
      </c>
      <c r="AF629" s="91"/>
      <c r="AG629" s="91"/>
    </row>
    <row r="630" spans="1:33" s="26" customFormat="1" ht="24" customHeight="1">
      <c r="A630" s="231">
        <f t="shared" si="258"/>
        <v>211</v>
      </c>
      <c r="B630" s="235" t="s">
        <v>910</v>
      </c>
      <c r="C630" s="232">
        <f t="shared" si="216"/>
        <v>6160181.1200000001</v>
      </c>
      <c r="D630" s="228"/>
      <c r="E630" s="257"/>
      <c r="F630" s="229"/>
      <c r="G630" s="182"/>
      <c r="H630" s="234"/>
      <c r="I630" s="234"/>
      <c r="J630" s="856"/>
      <c r="K630" s="225"/>
      <c r="L630" s="182"/>
      <c r="M630" s="185"/>
      <c r="N630" s="185"/>
      <c r="O630" s="185"/>
      <c r="P630" s="208"/>
      <c r="Q630" s="182"/>
      <c r="R630" s="228">
        <v>5866839.1600000001</v>
      </c>
      <c r="S630" s="228"/>
      <c r="T630" s="228"/>
      <c r="U630" s="228"/>
      <c r="V630" s="236">
        <v>293341.96000000002</v>
      </c>
      <c r="W630" s="309">
        <v>0</v>
      </c>
      <c r="X630" s="229"/>
      <c r="Y630" s="229"/>
      <c r="Z630" s="230">
        <f t="shared" si="260"/>
        <v>6160181.1200000001</v>
      </c>
      <c r="AA630" s="229"/>
      <c r="AB630" s="230"/>
      <c r="AC630" s="231"/>
      <c r="AD630" s="231">
        <v>2024</v>
      </c>
      <c r="AE630" s="231">
        <v>2024</v>
      </c>
      <c r="AF630" s="91"/>
      <c r="AG630" s="91"/>
    </row>
    <row r="631" spans="1:33" s="26" customFormat="1" ht="24" customHeight="1">
      <c r="A631" s="231">
        <f t="shared" si="258"/>
        <v>212</v>
      </c>
      <c r="B631" s="235" t="s">
        <v>911</v>
      </c>
      <c r="C631" s="232">
        <f t="shared" si="216"/>
        <v>30964238.629999999</v>
      </c>
      <c r="D631" s="228"/>
      <c r="E631" s="257"/>
      <c r="F631" s="229"/>
      <c r="G631" s="182"/>
      <c r="H631" s="234"/>
      <c r="I631" s="234"/>
      <c r="J631" s="856"/>
      <c r="K631" s="225"/>
      <c r="L631" s="182"/>
      <c r="M631" s="185"/>
      <c r="N631" s="185"/>
      <c r="O631" s="185"/>
      <c r="P631" s="208">
        <v>18512758.739999998</v>
      </c>
      <c r="Q631" s="182"/>
      <c r="R631" s="228">
        <v>10976992.34</v>
      </c>
      <c r="S631" s="228"/>
      <c r="T631" s="228"/>
      <c r="U631" s="228"/>
      <c r="V631" s="236">
        <f>548849.62+925637.93</f>
        <v>1474487.55</v>
      </c>
      <c r="W631" s="309">
        <v>0</v>
      </c>
      <c r="X631" s="229"/>
      <c r="Y631" s="229"/>
      <c r="Z631" s="230">
        <f t="shared" si="260"/>
        <v>30964238.629999999</v>
      </c>
      <c r="AA631" s="229"/>
      <c r="AB631" s="230"/>
      <c r="AC631" s="231"/>
      <c r="AD631" s="231">
        <v>2024</v>
      </c>
      <c r="AE631" s="231">
        <v>2024</v>
      </c>
      <c r="AF631" s="91"/>
      <c r="AG631" s="91"/>
    </row>
    <row r="632" spans="1:33" s="26" customFormat="1" ht="24" customHeight="1">
      <c r="A632" s="231">
        <f t="shared" si="258"/>
        <v>213</v>
      </c>
      <c r="B632" s="445" t="s">
        <v>912</v>
      </c>
      <c r="C632" s="418">
        <f t="shared" si="216"/>
        <v>15609505.310000001</v>
      </c>
      <c r="D632" s="428"/>
      <c r="E632" s="734"/>
      <c r="F632" s="420"/>
      <c r="G632" s="421"/>
      <c r="H632" s="429"/>
      <c r="I632" s="429"/>
      <c r="J632" s="855"/>
      <c r="K632" s="452"/>
      <c r="L632" s="421"/>
      <c r="M632" s="422"/>
      <c r="N632" s="422"/>
      <c r="O632" s="422"/>
      <c r="P632" s="446">
        <v>10128346.359999999</v>
      </c>
      <c r="Q632" s="421"/>
      <c r="R632" s="446">
        <v>4737313.87</v>
      </c>
      <c r="S632" s="428"/>
      <c r="T632" s="428"/>
      <c r="U632" s="428"/>
      <c r="V632" s="417">
        <v>743845.08</v>
      </c>
      <c r="W632" s="735"/>
      <c r="X632" s="420"/>
      <c r="Y632" s="420"/>
      <c r="Z632" s="425">
        <f t="shared" si="260"/>
        <v>15609505.310000001</v>
      </c>
      <c r="AA632" s="420"/>
      <c r="AB632" s="425"/>
      <c r="AC632" s="426"/>
      <c r="AD632" s="231">
        <v>2024</v>
      </c>
      <c r="AE632" s="231">
        <v>2024</v>
      </c>
      <c r="AF632" s="91"/>
      <c r="AG632" s="91"/>
    </row>
    <row r="633" spans="1:33" s="26" customFormat="1" ht="24" customHeight="1">
      <c r="A633" s="231">
        <f t="shared" si="258"/>
        <v>214</v>
      </c>
      <c r="B633" s="235" t="s">
        <v>913</v>
      </c>
      <c r="C633" s="232">
        <f t="shared" si="216"/>
        <v>40152587.850000001</v>
      </c>
      <c r="D633" s="228"/>
      <c r="E633" s="257"/>
      <c r="F633" s="229"/>
      <c r="G633" s="182"/>
      <c r="H633" s="234"/>
      <c r="I633" s="234"/>
      <c r="J633" s="856"/>
      <c r="K633" s="225"/>
      <c r="L633" s="182"/>
      <c r="M633" s="185"/>
      <c r="N633" s="185"/>
      <c r="O633" s="185"/>
      <c r="P633" s="182">
        <v>17965956.440000001</v>
      </c>
      <c r="Q633" s="182"/>
      <c r="R633" s="250">
        <v>19702587.77</v>
      </c>
      <c r="S633" s="228"/>
      <c r="T633" s="228"/>
      <c r="U633" s="228"/>
      <c r="V633" s="236">
        <f>985150.29+1229404</f>
        <v>2214554.29</v>
      </c>
      <c r="W633" s="309">
        <v>269489.34999999998</v>
      </c>
      <c r="X633" s="229"/>
      <c r="Y633" s="229"/>
      <c r="Z633" s="230">
        <v>20687738.059999999</v>
      </c>
      <c r="AA633" s="229"/>
      <c r="AB633" s="230">
        <f>C633-Z633</f>
        <v>19464849.789999999</v>
      </c>
      <c r="AC633" s="231"/>
      <c r="AD633" s="231">
        <v>2024</v>
      </c>
      <c r="AE633" s="231">
        <v>2024</v>
      </c>
      <c r="AF633" s="91"/>
      <c r="AG633" s="91"/>
    </row>
    <row r="634" spans="1:33" s="26" customFormat="1" ht="24" customHeight="1">
      <c r="A634" s="231">
        <f t="shared" ref="A634:A648" si="261">A633+1</f>
        <v>215</v>
      </c>
      <c r="B634" s="20" t="s">
        <v>914</v>
      </c>
      <c r="C634" s="4">
        <f t="shared" ref="C634:C645" si="262">D634+F634+G634+H634+I634+K634+L634+M634+O634+P634+Q634+R634+S634+W634+V634+X634</f>
        <v>1861001.14</v>
      </c>
      <c r="D634" s="9"/>
      <c r="E634" s="87">
        <v>1</v>
      </c>
      <c r="F634" s="100">
        <v>1612809</v>
      </c>
      <c r="G634" s="12"/>
      <c r="H634" s="9"/>
      <c r="I634" s="13"/>
      <c r="J634" s="862"/>
      <c r="K634" s="102"/>
      <c r="L634" s="12"/>
      <c r="M634" s="22"/>
      <c r="N634" s="22"/>
      <c r="O634" s="22"/>
      <c r="P634" s="21"/>
      <c r="Q634" s="9"/>
      <c r="R634" s="21"/>
      <c r="S634" s="12"/>
      <c r="T634" s="109"/>
      <c r="U634" s="109"/>
      <c r="V634" s="101">
        <v>224000</v>
      </c>
      <c r="W634" s="86">
        <v>24192.14</v>
      </c>
      <c r="X634" s="21"/>
      <c r="Y634" s="21"/>
      <c r="Z634" s="24"/>
      <c r="AA634" s="21"/>
      <c r="AB634" s="24">
        <f>C634</f>
        <v>1861001.14</v>
      </c>
      <c r="AC634" s="18"/>
      <c r="AD634" s="18">
        <v>2024</v>
      </c>
      <c r="AE634" s="18">
        <v>2025</v>
      </c>
      <c r="AF634" s="25"/>
      <c r="AG634" s="91"/>
    </row>
    <row r="635" spans="1:33" s="26" customFormat="1" ht="24" customHeight="1">
      <c r="A635" s="231">
        <f t="shared" si="261"/>
        <v>216</v>
      </c>
      <c r="B635" s="249" t="s">
        <v>915</v>
      </c>
      <c r="C635" s="232">
        <f t="shared" si="262"/>
        <v>20905103.920000002</v>
      </c>
      <c r="D635" s="228"/>
      <c r="E635" s="257"/>
      <c r="F635" s="229"/>
      <c r="G635" s="182"/>
      <c r="H635" s="234"/>
      <c r="I635" s="234"/>
      <c r="J635" s="856"/>
      <c r="K635" s="236"/>
      <c r="L635" s="182"/>
      <c r="M635" s="185"/>
      <c r="N635" s="185"/>
      <c r="O635" s="185"/>
      <c r="P635" s="250">
        <v>8513063.3800000008</v>
      </c>
      <c r="Q635" s="182"/>
      <c r="R635" s="250">
        <v>11396559.4</v>
      </c>
      <c r="S635" s="228"/>
      <c r="T635" s="228"/>
      <c r="U635" s="228"/>
      <c r="V635" s="236">
        <v>995481.14</v>
      </c>
      <c r="W635" s="309"/>
      <c r="X635" s="229"/>
      <c r="Y635" s="229"/>
      <c r="Z635" s="230">
        <f t="shared" ref="Z635" si="263">C635</f>
        <v>20905103.920000002</v>
      </c>
      <c r="AA635" s="229"/>
      <c r="AB635" s="230"/>
      <c r="AC635" s="231"/>
      <c r="AD635" s="231">
        <v>2024</v>
      </c>
      <c r="AE635" s="231">
        <v>2025</v>
      </c>
      <c r="AF635" s="91"/>
      <c r="AG635" s="91"/>
    </row>
    <row r="636" spans="1:33" s="26" customFormat="1" ht="24" customHeight="1">
      <c r="A636" s="231">
        <f t="shared" si="261"/>
        <v>217</v>
      </c>
      <c r="B636" s="249" t="s">
        <v>819</v>
      </c>
      <c r="C636" s="232">
        <f t="shared" si="262"/>
        <v>1392493.87</v>
      </c>
      <c r="D636" s="228"/>
      <c r="E636" s="257">
        <v>1</v>
      </c>
      <c r="F636" s="237">
        <v>1201542.69</v>
      </c>
      <c r="G636" s="182"/>
      <c r="H636" s="228"/>
      <c r="I636" s="234"/>
      <c r="J636" s="856"/>
      <c r="K636" s="102"/>
      <c r="L636" s="182"/>
      <c r="M636" s="185"/>
      <c r="N636" s="185"/>
      <c r="O636" s="185"/>
      <c r="P636" s="229"/>
      <c r="Q636" s="228"/>
      <c r="R636" s="229"/>
      <c r="S636" s="182"/>
      <c r="T636" s="182"/>
      <c r="U636" s="182"/>
      <c r="V636" s="248">
        <v>166880</v>
      </c>
      <c r="W636" s="309">
        <v>24071.18</v>
      </c>
      <c r="X636" s="229"/>
      <c r="Y636" s="229"/>
      <c r="Z636" s="230">
        <f>C636</f>
        <v>1392493.87</v>
      </c>
      <c r="AA636" s="229"/>
      <c r="AB636" s="230"/>
      <c r="AC636" s="231"/>
      <c r="AD636" s="231">
        <v>2024</v>
      </c>
      <c r="AE636" s="231">
        <v>2025</v>
      </c>
      <c r="AF636" s="91"/>
      <c r="AG636" s="91"/>
    </row>
    <row r="637" spans="1:33" s="26" customFormat="1" ht="24" customHeight="1">
      <c r="A637" s="231">
        <f t="shared" si="261"/>
        <v>218</v>
      </c>
      <c r="B637" s="435" t="s">
        <v>1010</v>
      </c>
      <c r="C637" s="418">
        <f t="shared" si="262"/>
        <v>2790000</v>
      </c>
      <c r="D637" s="428"/>
      <c r="E637" s="734"/>
      <c r="F637" s="447"/>
      <c r="G637" s="421"/>
      <c r="H637" s="428"/>
      <c r="I637" s="429"/>
      <c r="J637" s="734"/>
      <c r="K637" s="102"/>
      <c r="L637" s="421"/>
      <c r="M637" s="422"/>
      <c r="N637" s="422">
        <v>1</v>
      </c>
      <c r="O637" s="436">
        <v>2710000</v>
      </c>
      <c r="P637" s="420"/>
      <c r="Q637" s="428"/>
      <c r="R637" s="420"/>
      <c r="S637" s="421"/>
      <c r="T637" s="421"/>
      <c r="U637" s="421"/>
      <c r="V637" s="448">
        <v>80000</v>
      </c>
      <c r="W637" s="735"/>
      <c r="X637" s="420"/>
      <c r="Y637" s="420"/>
      <c r="Z637" s="425"/>
      <c r="AA637" s="420"/>
      <c r="AB637" s="425">
        <f>C637</f>
        <v>2790000</v>
      </c>
      <c r="AC637" s="426"/>
      <c r="AD637" s="426">
        <v>2024</v>
      </c>
      <c r="AE637" s="426">
        <v>2024</v>
      </c>
      <c r="AF637" s="91"/>
      <c r="AG637" s="91"/>
    </row>
    <row r="638" spans="1:33" s="26" customFormat="1" ht="24" customHeight="1">
      <c r="A638" s="231">
        <f t="shared" si="261"/>
        <v>219</v>
      </c>
      <c r="B638" s="235" t="s">
        <v>764</v>
      </c>
      <c r="C638" s="232">
        <f t="shared" si="262"/>
        <v>1861001.14</v>
      </c>
      <c r="D638" s="228"/>
      <c r="E638" s="257">
        <v>1</v>
      </c>
      <c r="F638" s="237">
        <v>1612809</v>
      </c>
      <c r="G638" s="182"/>
      <c r="H638" s="228"/>
      <c r="I638" s="234"/>
      <c r="J638" s="856"/>
      <c r="K638" s="102"/>
      <c r="L638" s="182"/>
      <c r="M638" s="185"/>
      <c r="N638" s="185"/>
      <c r="O638" s="185"/>
      <c r="P638" s="229"/>
      <c r="Q638" s="228"/>
      <c r="R638" s="229"/>
      <c r="S638" s="182"/>
      <c r="T638" s="182"/>
      <c r="U638" s="182"/>
      <c r="V638" s="248">
        <v>224000</v>
      </c>
      <c r="W638" s="309">
        <v>24192.14</v>
      </c>
      <c r="X638" s="229"/>
      <c r="Y638" s="229"/>
      <c r="Z638" s="230"/>
      <c r="AA638" s="229"/>
      <c r="AB638" s="230">
        <f>C638</f>
        <v>1861001.14</v>
      </c>
      <c r="AC638" s="231"/>
      <c r="AD638" s="231">
        <v>2024</v>
      </c>
      <c r="AE638" s="231">
        <v>2025</v>
      </c>
      <c r="AF638" s="91"/>
      <c r="AG638" s="91"/>
    </row>
    <row r="639" spans="1:33" s="26" customFormat="1" ht="24" customHeight="1">
      <c r="A639" s="585">
        <f t="shared" si="261"/>
        <v>220</v>
      </c>
      <c r="B639" s="632" t="s">
        <v>601</v>
      </c>
      <c r="C639" s="587">
        <f t="shared" si="262"/>
        <v>19265660.93</v>
      </c>
      <c r="D639" s="580"/>
      <c r="E639" s="831"/>
      <c r="F639" s="581"/>
      <c r="G639" s="578"/>
      <c r="H639" s="582"/>
      <c r="I639" s="582"/>
      <c r="J639" s="831"/>
      <c r="K639" s="583"/>
      <c r="L639" s="578"/>
      <c r="M639" s="579"/>
      <c r="N639" s="579"/>
      <c r="O639" s="579"/>
      <c r="P639" s="618"/>
      <c r="Q639" s="578"/>
      <c r="R639" s="580"/>
      <c r="S639" s="580">
        <v>18089822.48</v>
      </c>
      <c r="T639" s="580"/>
      <c r="U639" s="580"/>
      <c r="V639" s="583">
        <v>904491.12</v>
      </c>
      <c r="W639" s="584">
        <v>271347.33</v>
      </c>
      <c r="X639" s="581"/>
      <c r="Y639" s="581"/>
      <c r="Z639" s="584"/>
      <c r="AA639" s="581"/>
      <c r="AB639" s="584">
        <f t="shared" ref="AB639" si="264">C639</f>
        <v>19265660.93</v>
      </c>
      <c r="AC639" s="585"/>
      <c r="AD639" s="585">
        <v>2024</v>
      </c>
      <c r="AE639" s="585">
        <v>2025</v>
      </c>
      <c r="AF639" s="91"/>
      <c r="AG639" s="91"/>
    </row>
    <row r="640" spans="1:33" s="26" customFormat="1" ht="24" customHeight="1">
      <c r="A640" s="231">
        <f t="shared" si="261"/>
        <v>221</v>
      </c>
      <c r="B640" s="235" t="s">
        <v>214</v>
      </c>
      <c r="C640" s="232">
        <f t="shared" si="262"/>
        <v>19787681.550000001</v>
      </c>
      <c r="D640" s="228">
        <f>ROUND(2323.1*660.21,2)</f>
        <v>1533733.85</v>
      </c>
      <c r="E640" s="257"/>
      <c r="F640" s="229"/>
      <c r="G640" s="182">
        <f>ROUND(2323.1*620.83,2)</f>
        <v>1442250.17</v>
      </c>
      <c r="H640" s="234">
        <f>ROUND(2323.1*665.62,2)</f>
        <v>1546301.82</v>
      </c>
      <c r="I640" s="234">
        <f>ROUND(2323.1*3201.73,2)</f>
        <v>7437938.96</v>
      </c>
      <c r="J640" s="856"/>
      <c r="K640" s="27"/>
      <c r="L640" s="182">
        <f>ROUND(2323.1*616.25,2)</f>
        <v>1431610.38</v>
      </c>
      <c r="M640" s="185"/>
      <c r="N640" s="185"/>
      <c r="O640" s="185"/>
      <c r="P640" s="185"/>
      <c r="Q640" s="182">
        <f>ROUND(2323.1*706.71,2)</f>
        <v>1641758</v>
      </c>
      <c r="R640" s="228"/>
      <c r="S640" s="228">
        <f>ROUND(2323.1*1135.41,2)</f>
        <v>2637670.9700000002</v>
      </c>
      <c r="T640" s="228"/>
      <c r="U640" s="228"/>
      <c r="V640" s="236">
        <v>1851348.44</v>
      </c>
      <c r="W640" s="309">
        <v>265068.96000000002</v>
      </c>
      <c r="X640" s="229"/>
      <c r="Y640" s="229"/>
      <c r="Z640" s="229"/>
      <c r="AA640" s="229"/>
      <c r="AB640" s="230">
        <f t="shared" ref="AB640:AB641" si="265">C640</f>
        <v>19787681.550000001</v>
      </c>
      <c r="AC640" s="231"/>
      <c r="AD640" s="231">
        <v>2024</v>
      </c>
      <c r="AE640" s="231">
        <v>2024</v>
      </c>
      <c r="AF640" s="91"/>
      <c r="AG640" s="91"/>
    </row>
    <row r="641" spans="1:33" s="26" customFormat="1" ht="24" customHeight="1">
      <c r="A641" s="231">
        <f t="shared" si="261"/>
        <v>222</v>
      </c>
      <c r="B641" s="235" t="s">
        <v>215</v>
      </c>
      <c r="C641" s="232">
        <f t="shared" si="262"/>
        <v>14429657.199999999</v>
      </c>
      <c r="D641" s="228">
        <f>ROUND(1478.8*589.88,2)</f>
        <v>872314.54</v>
      </c>
      <c r="E641" s="257"/>
      <c r="F641" s="229"/>
      <c r="G641" s="182">
        <f>ROUND(1478.8*596.38,2)</f>
        <v>881926.74</v>
      </c>
      <c r="H641" s="234">
        <f>ROUND(1478.8*1074.75,2)</f>
        <v>1589340.3</v>
      </c>
      <c r="I641" s="234">
        <f>ROUND(1478.8*4857.9,2)</f>
        <v>7183862.5199999996</v>
      </c>
      <c r="J641" s="856"/>
      <c r="K641" s="225"/>
      <c r="L641" s="182">
        <f>ROUND(1478.8*616.25,2)</f>
        <v>911310.5</v>
      </c>
      <c r="M641" s="185"/>
      <c r="N641" s="185"/>
      <c r="O641" s="185"/>
      <c r="P641" s="185"/>
      <c r="Q641" s="182"/>
      <c r="R641" s="228"/>
      <c r="S641" s="228">
        <f>ROUND(1478.8*1135.41,2)</f>
        <v>1679044.31</v>
      </c>
      <c r="T641" s="228"/>
      <c r="U641" s="228"/>
      <c r="V641" s="236">
        <v>1115091.31</v>
      </c>
      <c r="W641" s="309">
        <v>196766.98</v>
      </c>
      <c r="X641" s="229"/>
      <c r="Y641" s="229"/>
      <c r="Z641" s="229"/>
      <c r="AA641" s="229"/>
      <c r="AB641" s="230">
        <f t="shared" si="265"/>
        <v>14429657.199999999</v>
      </c>
      <c r="AC641" s="231"/>
      <c r="AD641" s="231" t="s">
        <v>340</v>
      </c>
      <c r="AE641" s="231">
        <v>2024</v>
      </c>
      <c r="AF641" s="91"/>
      <c r="AG641" s="91"/>
    </row>
    <row r="642" spans="1:33" s="26" customFormat="1" ht="24" customHeight="1">
      <c r="A642" s="231">
        <f t="shared" si="261"/>
        <v>223</v>
      </c>
      <c r="B642" s="235" t="s">
        <v>614</v>
      </c>
      <c r="C642" s="232">
        <f t="shared" si="262"/>
        <v>11896370.32</v>
      </c>
      <c r="D642" s="228"/>
      <c r="E642" s="257"/>
      <c r="F642" s="229"/>
      <c r="G642" s="182"/>
      <c r="H642" s="234"/>
      <c r="I642" s="234"/>
      <c r="J642" s="856"/>
      <c r="K642" s="14"/>
      <c r="L642" s="182"/>
      <c r="M642" s="185"/>
      <c r="N642" s="185"/>
      <c r="O642" s="185"/>
      <c r="P642" s="295">
        <v>11170300.77</v>
      </c>
      <c r="Q642" s="182"/>
      <c r="R642" s="228"/>
      <c r="S642" s="182"/>
      <c r="T642" s="182"/>
      <c r="U642" s="182"/>
      <c r="V642" s="236">
        <v>558515.04</v>
      </c>
      <c r="W642" s="309">
        <v>167554.51</v>
      </c>
      <c r="X642" s="229"/>
      <c r="Y642" s="229"/>
      <c r="Z642" s="229"/>
      <c r="AA642" s="229"/>
      <c r="AB642" s="230">
        <f>C642</f>
        <v>11896370.32</v>
      </c>
      <c r="AC642" s="231"/>
      <c r="AD642" s="231">
        <v>2024</v>
      </c>
      <c r="AE642" s="231">
        <v>2025</v>
      </c>
      <c r="AF642" s="91"/>
      <c r="AG642" s="91"/>
    </row>
    <row r="643" spans="1:33" s="26" customFormat="1" ht="24" customHeight="1">
      <c r="A643" s="231">
        <f t="shared" si="261"/>
        <v>224</v>
      </c>
      <c r="B643" s="235" t="s">
        <v>503</v>
      </c>
      <c r="C643" s="232">
        <f t="shared" si="262"/>
        <v>6268186.2300000004</v>
      </c>
      <c r="D643" s="228"/>
      <c r="E643" s="794"/>
      <c r="F643" s="228"/>
      <c r="G643" s="182"/>
      <c r="H643" s="234"/>
      <c r="I643" s="234"/>
      <c r="J643" s="863">
        <v>2</v>
      </c>
      <c r="K643" s="228">
        <f>5542680+250000</f>
        <v>5792680</v>
      </c>
      <c r="L643" s="182"/>
      <c r="M643" s="182"/>
      <c r="N643" s="182"/>
      <c r="O643" s="182"/>
      <c r="P643" s="228"/>
      <c r="Q643" s="244"/>
      <c r="R643" s="228"/>
      <c r="S643" s="182"/>
      <c r="T643" s="182"/>
      <c r="U643" s="182"/>
      <c r="V643" s="236">
        <v>462642.96</v>
      </c>
      <c r="W643" s="250">
        <v>12863.27</v>
      </c>
      <c r="X643" s="229"/>
      <c r="Y643" s="229"/>
      <c r="Z643" s="230">
        <f t="shared" ref="Z643:Z645" si="266">C643</f>
        <v>6268186.2300000004</v>
      </c>
      <c r="AA643" s="229"/>
      <c r="AB643" s="230"/>
      <c r="AC643" s="231"/>
      <c r="AD643" s="245" t="s">
        <v>482</v>
      </c>
      <c r="AE643" s="231">
        <v>2024</v>
      </c>
      <c r="AF643" s="91"/>
      <c r="AG643" s="91"/>
    </row>
    <row r="644" spans="1:33" s="26" customFormat="1" ht="24" customHeight="1">
      <c r="A644" s="231">
        <f t="shared" si="261"/>
        <v>225</v>
      </c>
      <c r="B644" s="445" t="s">
        <v>504</v>
      </c>
      <c r="C644" s="418">
        <f t="shared" si="262"/>
        <v>9196151.6099999994</v>
      </c>
      <c r="D644" s="428"/>
      <c r="E644" s="734"/>
      <c r="F644" s="420"/>
      <c r="G644" s="421"/>
      <c r="H644" s="429"/>
      <c r="I644" s="429"/>
      <c r="J644" s="864">
        <v>3</v>
      </c>
      <c r="K644" s="428">
        <v>8489323.6999999993</v>
      </c>
      <c r="L644" s="421"/>
      <c r="M644" s="421"/>
      <c r="N644" s="422"/>
      <c r="O644" s="422"/>
      <c r="P644" s="427"/>
      <c r="Q644" s="428"/>
      <c r="R644" s="428"/>
      <c r="S644" s="421"/>
      <c r="T644" s="421"/>
      <c r="U644" s="421"/>
      <c r="V644" s="417">
        <v>693964.64</v>
      </c>
      <c r="W644" s="446">
        <v>12863.27</v>
      </c>
      <c r="X644" s="420"/>
      <c r="Y644" s="420"/>
      <c r="Z644" s="425">
        <f t="shared" si="266"/>
        <v>9196151.6099999994</v>
      </c>
      <c r="AA644" s="420"/>
      <c r="AB644" s="425"/>
      <c r="AC644" s="426"/>
      <c r="AD644" s="231">
        <v>2024</v>
      </c>
      <c r="AE644" s="231">
        <v>2024</v>
      </c>
      <c r="AF644" s="91"/>
      <c r="AG644" s="91"/>
    </row>
    <row r="645" spans="1:33" s="26" customFormat="1" ht="24" customHeight="1">
      <c r="A645" s="231">
        <f t="shared" si="261"/>
        <v>226</v>
      </c>
      <c r="B645" s="235" t="s">
        <v>505</v>
      </c>
      <c r="C645" s="232">
        <f t="shared" si="262"/>
        <v>6268186.2300000004</v>
      </c>
      <c r="D645" s="228"/>
      <c r="E645" s="794"/>
      <c r="F645" s="228"/>
      <c r="G645" s="182"/>
      <c r="H645" s="234"/>
      <c r="I645" s="234"/>
      <c r="J645" s="863">
        <v>2</v>
      </c>
      <c r="K645" s="228">
        <f>5542680+250000</f>
        <v>5792680</v>
      </c>
      <c r="L645" s="182"/>
      <c r="M645" s="182"/>
      <c r="N645" s="182"/>
      <c r="O645" s="182"/>
      <c r="P645" s="228"/>
      <c r="Q645" s="244"/>
      <c r="R645" s="228"/>
      <c r="S645" s="182"/>
      <c r="T645" s="182"/>
      <c r="U645" s="182"/>
      <c r="V645" s="236">
        <v>462642.96</v>
      </c>
      <c r="W645" s="250">
        <v>12863.27</v>
      </c>
      <c r="X645" s="229"/>
      <c r="Y645" s="229"/>
      <c r="Z645" s="230">
        <f t="shared" si="266"/>
        <v>6268186.2300000004</v>
      </c>
      <c r="AA645" s="229"/>
      <c r="AB645" s="230"/>
      <c r="AC645" s="231"/>
      <c r="AD645" s="245" t="s">
        <v>482</v>
      </c>
      <c r="AE645" s="231">
        <v>2024</v>
      </c>
      <c r="AF645" s="91"/>
      <c r="AG645" s="91"/>
    </row>
    <row r="646" spans="1:33" s="26" customFormat="1" ht="24" customHeight="1">
      <c r="A646" s="231">
        <f t="shared" si="261"/>
        <v>227</v>
      </c>
      <c r="B646" s="61" t="s">
        <v>611</v>
      </c>
      <c r="C646" s="4">
        <f t="shared" ref="C646" si="267">D646+F646+G646+H646+I646+K646+L646+M646+O646+P646+Q646+R646+S646+W646+V646+X646</f>
        <v>25599900.370000001</v>
      </c>
      <c r="D646" s="108">
        <v>2930350.33</v>
      </c>
      <c r="E646" s="861">
        <v>1</v>
      </c>
      <c r="F646" s="100">
        <v>1612809</v>
      </c>
      <c r="G646" s="109">
        <v>2015084.53</v>
      </c>
      <c r="H646" s="110">
        <v>2892142.34</v>
      </c>
      <c r="I646" s="110">
        <v>11071181.119999999</v>
      </c>
      <c r="J646" s="861"/>
      <c r="K646" s="108"/>
      <c r="L646" s="109">
        <v>3381287.91</v>
      </c>
      <c r="M646" s="109"/>
      <c r="N646" s="109"/>
      <c r="O646" s="109"/>
      <c r="P646" s="109"/>
      <c r="Q646" s="134"/>
      <c r="R646" s="108"/>
      <c r="S646" s="109"/>
      <c r="T646" s="109"/>
      <c r="U646" s="109"/>
      <c r="V646" s="116">
        <f>1114502.31+224000</f>
        <v>1338502.31</v>
      </c>
      <c r="W646" s="741">
        <f>334350.69+24192.14</f>
        <v>358542.83</v>
      </c>
      <c r="X646" s="107"/>
      <c r="Y646" s="107"/>
      <c r="Z646" s="111"/>
      <c r="AA646" s="107"/>
      <c r="AB646" s="111">
        <f>C646</f>
        <v>25599900.370000001</v>
      </c>
      <c r="AC646" s="112"/>
      <c r="AD646" s="136" t="s">
        <v>482</v>
      </c>
      <c r="AE646" s="112">
        <v>2025</v>
      </c>
      <c r="AF646" s="25"/>
      <c r="AG646" s="91"/>
    </row>
    <row r="647" spans="1:33" s="26" customFormat="1" ht="24" customHeight="1">
      <c r="A647" s="231">
        <f t="shared" si="261"/>
        <v>228</v>
      </c>
      <c r="B647" s="61" t="s">
        <v>216</v>
      </c>
      <c r="C647" s="4">
        <f t="shared" si="216"/>
        <v>42976239.590000004</v>
      </c>
      <c r="D647" s="9">
        <f>ROUND(7032.8*660.21,2)</f>
        <v>4643124.8899999997</v>
      </c>
      <c r="E647" s="87"/>
      <c r="F647" s="21"/>
      <c r="G647" s="12">
        <f>ROUND(7032.8*620.83,2)</f>
        <v>4366173.22</v>
      </c>
      <c r="H647" s="13">
        <f>ROUND(7032.8*665.62,2)</f>
        <v>4681172.34</v>
      </c>
      <c r="I647" s="13">
        <f>ROUND(7032.8*3201.73,2)</f>
        <v>22517126.739999998</v>
      </c>
      <c r="J647" s="862"/>
      <c r="K647" s="9"/>
      <c r="L647" s="12">
        <f>ROUND(7032.8*616.25,2)</f>
        <v>4333963</v>
      </c>
      <c r="M647" s="22"/>
      <c r="N647" s="22"/>
      <c r="O647" s="22"/>
      <c r="P647" s="22"/>
      <c r="Q647" s="12"/>
      <c r="R647" s="9"/>
      <c r="S647" s="9"/>
      <c r="T647" s="108"/>
      <c r="U647" s="108"/>
      <c r="V647" s="3">
        <v>1826556</v>
      </c>
      <c r="W647" s="86">
        <f t="shared" ref="W647:W649" si="268">ROUND((D647+F647+G647+H647+I647+L647+M647+O647+P647+Q647+R647+S647)*1.5%,2)</f>
        <v>608123.4</v>
      </c>
      <c r="X647" s="21"/>
      <c r="Y647" s="21"/>
      <c r="Z647" s="21"/>
      <c r="AA647" s="21"/>
      <c r="AB647" s="24">
        <f t="shared" si="217"/>
        <v>42976239.590000004</v>
      </c>
      <c r="AC647" s="18"/>
      <c r="AD647" s="18">
        <v>2024</v>
      </c>
      <c r="AE647" s="18">
        <v>2024</v>
      </c>
      <c r="AF647" s="25"/>
      <c r="AG647" s="91"/>
    </row>
    <row r="648" spans="1:33" s="26" customFormat="1" ht="24" customHeight="1">
      <c r="A648" s="231">
        <f t="shared" si="261"/>
        <v>229</v>
      </c>
      <c r="B648" s="61" t="s">
        <v>1265</v>
      </c>
      <c r="C648" s="4">
        <f t="shared" si="216"/>
        <v>10772757.25</v>
      </c>
      <c r="D648" s="9">
        <f>ROUND(2495.5*589.88,2)</f>
        <v>1472045.54</v>
      </c>
      <c r="E648" s="87"/>
      <c r="F648" s="21"/>
      <c r="G648" s="12">
        <f>ROUND(2495.5*596.38,2)</f>
        <v>1488266.29</v>
      </c>
      <c r="H648" s="13">
        <f>ROUND(2495.5*1074.75,2)</f>
        <v>2682038.63</v>
      </c>
      <c r="I648" s="13">
        <f>ROUND(2495.5*871.5,2)</f>
        <v>2174828.25</v>
      </c>
      <c r="J648" s="862"/>
      <c r="K648" s="7"/>
      <c r="L648" s="12">
        <f>ROUND(2495.5*616.25,2)</f>
        <v>1537851.88</v>
      </c>
      <c r="M648" s="22"/>
      <c r="N648" s="22"/>
      <c r="O648" s="22"/>
      <c r="P648" s="22"/>
      <c r="Q648" s="12"/>
      <c r="R648" s="9"/>
      <c r="S648" s="9"/>
      <c r="T648" s="108"/>
      <c r="U648" s="108"/>
      <c r="V648" s="3">
        <v>1277401.2</v>
      </c>
      <c r="W648" s="86">
        <f t="shared" si="268"/>
        <v>140325.46</v>
      </c>
      <c r="X648" s="21"/>
      <c r="Y648" s="21"/>
      <c r="Z648" s="21"/>
      <c r="AA648" s="21"/>
      <c r="AB648" s="24">
        <f t="shared" si="217"/>
        <v>10772757.25</v>
      </c>
      <c r="AC648" s="18"/>
      <c r="AD648" s="18">
        <v>2024</v>
      </c>
      <c r="AE648" s="18">
        <v>2024</v>
      </c>
      <c r="AF648" s="25"/>
      <c r="AG648" s="91"/>
    </row>
    <row r="649" spans="1:33" s="26" customFormat="1" ht="24" customHeight="1">
      <c r="A649" s="18">
        <f t="shared" ref="A649:A655" si="269">A648+1</f>
        <v>230</v>
      </c>
      <c r="B649" s="61" t="s">
        <v>217</v>
      </c>
      <c r="C649" s="4">
        <f t="shared" si="216"/>
        <v>15370826.92</v>
      </c>
      <c r="D649" s="9">
        <f>ROUND(1838.9*589.88,2)</f>
        <v>1084730.33</v>
      </c>
      <c r="E649" s="87"/>
      <c r="F649" s="21"/>
      <c r="G649" s="12">
        <f>ROUND(1838.9*596.38,2)</f>
        <v>1096683.18</v>
      </c>
      <c r="H649" s="13">
        <f>ROUND(1838.9*1074.75,2)</f>
        <v>1976357.78</v>
      </c>
      <c r="I649" s="13">
        <f>ROUND(1838.9*4857.9,2)</f>
        <v>8933192.3100000005</v>
      </c>
      <c r="J649" s="862"/>
      <c r="K649" s="7"/>
      <c r="L649" s="12">
        <f>ROUND(1838.9*616.25,2)</f>
        <v>1133222.1299999999</v>
      </c>
      <c r="M649" s="22"/>
      <c r="N649" s="22"/>
      <c r="O649" s="22"/>
      <c r="P649" s="22"/>
      <c r="Q649" s="12"/>
      <c r="R649" s="9"/>
      <c r="S649" s="9"/>
      <c r="T649" s="108"/>
      <c r="U649" s="108"/>
      <c r="V649" s="3">
        <v>933278.4</v>
      </c>
      <c r="W649" s="86">
        <f t="shared" si="268"/>
        <v>213362.79</v>
      </c>
      <c r="X649" s="21"/>
      <c r="Y649" s="21"/>
      <c r="Z649" s="21"/>
      <c r="AA649" s="21"/>
      <c r="AB649" s="24">
        <f t="shared" si="217"/>
        <v>15370826.92</v>
      </c>
      <c r="AC649" s="18"/>
      <c r="AD649" s="18">
        <v>2024</v>
      </c>
      <c r="AE649" s="18">
        <v>2024</v>
      </c>
      <c r="AF649" s="25"/>
      <c r="AG649" s="91"/>
    </row>
    <row r="650" spans="1:33" s="26" customFormat="1" ht="24" customHeight="1">
      <c r="A650" s="231">
        <f t="shared" si="269"/>
        <v>231</v>
      </c>
      <c r="B650" s="235" t="s">
        <v>475</v>
      </c>
      <c r="C650" s="232">
        <f t="shared" si="216"/>
        <v>18378893.260000002</v>
      </c>
      <c r="D650" s="228">
        <v>1610082.6</v>
      </c>
      <c r="E650" s="257"/>
      <c r="F650" s="229"/>
      <c r="G650" s="182"/>
      <c r="H650" s="234"/>
      <c r="I650" s="234"/>
      <c r="J650" s="856"/>
      <c r="K650" s="246"/>
      <c r="L650" s="182"/>
      <c r="M650" s="185"/>
      <c r="N650" s="185"/>
      <c r="O650" s="185"/>
      <c r="P650" s="250">
        <v>6786046.6299999999</v>
      </c>
      <c r="Q650" s="207"/>
      <c r="R650" s="253">
        <v>9084577.4499999993</v>
      </c>
      <c r="S650" s="228"/>
      <c r="T650" s="228"/>
      <c r="U650" s="228"/>
      <c r="V650" s="236">
        <f>(454228.87+339302.33)+80504.13</f>
        <v>874035.33</v>
      </c>
      <c r="W650" s="309">
        <f>0.01+24151.24</f>
        <v>24151.25</v>
      </c>
      <c r="X650" s="229"/>
      <c r="Y650" s="229"/>
      <c r="Z650" s="230">
        <f>C650-AB650</f>
        <v>16664155.289999999</v>
      </c>
      <c r="AA650" s="229"/>
      <c r="AB650" s="230">
        <f>1610082.6+24151.24+80504.13</f>
        <v>1714737.97</v>
      </c>
      <c r="AC650" s="231"/>
      <c r="AD650" s="231">
        <v>2024</v>
      </c>
      <c r="AE650" s="231">
        <v>2025</v>
      </c>
      <c r="AF650" s="91"/>
      <c r="AG650" s="91"/>
    </row>
    <row r="651" spans="1:33" s="26" customFormat="1" ht="24" customHeight="1">
      <c r="A651" s="231">
        <f t="shared" si="269"/>
        <v>232</v>
      </c>
      <c r="B651" s="235" t="s">
        <v>344</v>
      </c>
      <c r="C651" s="232">
        <f t="shared" si="216"/>
        <v>9502856</v>
      </c>
      <c r="D651" s="228">
        <v>1696765.76</v>
      </c>
      <c r="E651" s="229"/>
      <c r="F651" s="229"/>
      <c r="G651" s="182">
        <v>1595961.56</v>
      </c>
      <c r="H651" s="234">
        <v>1734062.21</v>
      </c>
      <c r="I651" s="234"/>
      <c r="J651" s="856"/>
      <c r="K651" s="236"/>
      <c r="L651" s="182"/>
      <c r="M651" s="295">
        <v>4115214</v>
      </c>
      <c r="N651" s="185"/>
      <c r="O651" s="185"/>
      <c r="P651" s="185"/>
      <c r="Q651" s="182"/>
      <c r="R651" s="228"/>
      <c r="S651" s="228"/>
      <c r="T651" s="228"/>
      <c r="U651" s="228"/>
      <c r="V651" s="236">
        <v>205760.7</v>
      </c>
      <c r="W651" s="309">
        <f>23939.42+43413.21+26010.93+61728.21</f>
        <v>155091.76999999999</v>
      </c>
      <c r="X651" s="229"/>
      <c r="Y651" s="229"/>
      <c r="Z651" s="230"/>
      <c r="AA651" s="229"/>
      <c r="AB651" s="230">
        <f>C651</f>
        <v>9502856</v>
      </c>
      <c r="AC651" s="231"/>
      <c r="AD651" s="231">
        <v>2022</v>
      </c>
      <c r="AE651" s="231">
        <v>2025</v>
      </c>
      <c r="AF651" s="91"/>
      <c r="AG651" s="91"/>
    </row>
    <row r="652" spans="1:33" s="26" customFormat="1" ht="24" customHeight="1">
      <c r="A652" s="231">
        <f t="shared" si="269"/>
        <v>233</v>
      </c>
      <c r="B652" s="235" t="s">
        <v>515</v>
      </c>
      <c r="C652" s="232">
        <f t="shared" si="216"/>
        <v>28157385.77</v>
      </c>
      <c r="D652" s="228"/>
      <c r="E652" s="229"/>
      <c r="F652" s="229"/>
      <c r="G652" s="182"/>
      <c r="H652" s="234"/>
      <c r="I652" s="234"/>
      <c r="J652" s="257"/>
      <c r="K652" s="236"/>
      <c r="L652" s="182"/>
      <c r="M652" s="185"/>
      <c r="N652" s="185"/>
      <c r="O652" s="185"/>
      <c r="P652" s="295">
        <v>13672698.890000001</v>
      </c>
      <c r="Q652" s="182"/>
      <c r="R652" s="228">
        <v>12961345.279999999</v>
      </c>
      <c r="S652" s="182"/>
      <c r="T652" s="182"/>
      <c r="U652" s="182"/>
      <c r="V652" s="236">
        <v>1331729.44</v>
      </c>
      <c r="W652" s="309">
        <v>191612.16</v>
      </c>
      <c r="X652" s="229"/>
      <c r="Y652" s="229"/>
      <c r="Z652" s="230">
        <f>C652</f>
        <v>28157385.77</v>
      </c>
      <c r="AA652" s="229"/>
      <c r="AB652" s="230"/>
      <c r="AC652" s="231"/>
      <c r="AD652" s="231">
        <v>2024</v>
      </c>
      <c r="AE652" s="231">
        <v>2025</v>
      </c>
      <c r="AF652" s="91"/>
      <c r="AG652" s="91"/>
    </row>
    <row r="653" spans="1:33" s="26" customFormat="1" ht="23.25" customHeight="1">
      <c r="A653" s="231">
        <f t="shared" si="269"/>
        <v>234</v>
      </c>
      <c r="B653" s="445" t="s">
        <v>506</v>
      </c>
      <c r="C653" s="418">
        <f t="shared" ref="C653" si="270">D653+F653+G653+H653+I653+K653+L653+M653+O653+P653+Q653+R653+S653+W653+V653+X653</f>
        <v>3249420.76</v>
      </c>
      <c r="D653" s="428"/>
      <c r="E653" s="428"/>
      <c r="F653" s="428"/>
      <c r="G653" s="421"/>
      <c r="H653" s="429"/>
      <c r="I653" s="429"/>
      <c r="J653" s="864">
        <v>1</v>
      </c>
      <c r="K653" s="428">
        <v>3005236.01</v>
      </c>
      <c r="L653" s="421"/>
      <c r="M653" s="421"/>
      <c r="N653" s="421"/>
      <c r="O653" s="421"/>
      <c r="P653" s="428"/>
      <c r="Q653" s="443"/>
      <c r="R653" s="428"/>
      <c r="S653" s="421"/>
      <c r="T653" s="421"/>
      <c r="U653" s="421"/>
      <c r="V653" s="417">
        <v>231321.48</v>
      </c>
      <c r="W653" s="446">
        <v>12863.27</v>
      </c>
      <c r="X653" s="420"/>
      <c r="Y653" s="420"/>
      <c r="Z653" s="425">
        <f t="shared" ref="Z653" si="271">C653</f>
        <v>3249420.76</v>
      </c>
      <c r="AA653" s="420"/>
      <c r="AB653" s="425"/>
      <c r="AC653" s="426"/>
      <c r="AD653" s="245" t="s">
        <v>482</v>
      </c>
      <c r="AE653" s="231">
        <v>2024</v>
      </c>
      <c r="AF653" s="91"/>
      <c r="AG653" s="91"/>
    </row>
    <row r="654" spans="1:33" s="26" customFormat="1" ht="23.25" customHeight="1">
      <c r="A654" s="231">
        <f t="shared" si="269"/>
        <v>235</v>
      </c>
      <c r="B654" s="61" t="s">
        <v>624</v>
      </c>
      <c r="C654" s="4">
        <f t="shared" ref="C654:C655" si="272">D654+F654+G654+H654+I654+K654+L654+M654+O654+P654+Q654+R654+S654+W654+V654+X654</f>
        <v>3219919.77</v>
      </c>
      <c r="D654" s="9"/>
      <c r="E654" s="9"/>
      <c r="F654" s="9"/>
      <c r="G654" s="12"/>
      <c r="H654" s="13"/>
      <c r="I654" s="13"/>
      <c r="J654" s="725"/>
      <c r="K654" s="9"/>
      <c r="L654" s="12"/>
      <c r="M654" s="12"/>
      <c r="N654" s="12"/>
      <c r="O654" s="12"/>
      <c r="P654" s="9"/>
      <c r="Q654" s="89"/>
      <c r="R654" s="9"/>
      <c r="S654" s="12">
        <v>3023398.85</v>
      </c>
      <c r="T654" s="109"/>
      <c r="U654" s="109"/>
      <c r="V654" s="3">
        <v>151169.94</v>
      </c>
      <c r="W654" s="600">
        <v>45350.98</v>
      </c>
      <c r="X654" s="21"/>
      <c r="Y654" s="21"/>
      <c r="Z654" s="24"/>
      <c r="AA654" s="21"/>
      <c r="AB654" s="24">
        <f>C654</f>
        <v>3219919.77</v>
      </c>
      <c r="AC654" s="18"/>
      <c r="AD654" s="40" t="s">
        <v>482</v>
      </c>
      <c r="AE654" s="18">
        <v>2025</v>
      </c>
      <c r="AF654" s="25"/>
      <c r="AG654" s="91"/>
    </row>
    <row r="655" spans="1:33" s="26" customFormat="1" ht="24" customHeight="1">
      <c r="A655" s="231">
        <f t="shared" si="269"/>
        <v>236</v>
      </c>
      <c r="B655" s="61" t="s">
        <v>1118</v>
      </c>
      <c r="C655" s="4">
        <f t="shared" si="272"/>
        <v>3532942.22</v>
      </c>
      <c r="D655" s="9"/>
      <c r="E655" s="9"/>
      <c r="F655" s="9"/>
      <c r="G655" s="12"/>
      <c r="H655" s="13"/>
      <c r="I655" s="13"/>
      <c r="J655" s="4"/>
      <c r="K655" s="9"/>
      <c r="L655" s="12"/>
      <c r="M655" s="12"/>
      <c r="N655" s="12"/>
      <c r="O655" s="12"/>
      <c r="P655" s="9"/>
      <c r="Q655" s="89"/>
      <c r="R655" s="9"/>
      <c r="S655" s="12">
        <v>3317316.64</v>
      </c>
      <c r="T655" s="109"/>
      <c r="U655" s="109"/>
      <c r="V655" s="3">
        <v>165865.82999999999</v>
      </c>
      <c r="W655" s="600">
        <v>49759.75</v>
      </c>
      <c r="X655" s="21"/>
      <c r="Y655" s="21"/>
      <c r="Z655" s="24"/>
      <c r="AA655" s="21"/>
      <c r="AB655" s="24">
        <f>C655</f>
        <v>3532942.22</v>
      </c>
      <c r="AC655" s="18"/>
      <c r="AD655" s="40" t="s">
        <v>482</v>
      </c>
      <c r="AE655" s="18">
        <v>2025</v>
      </c>
      <c r="AF655" s="25"/>
      <c r="AG655" s="91"/>
    </row>
    <row r="656" spans="1:33" s="148" customFormat="1" ht="24" customHeight="1">
      <c r="A656" s="883" t="s">
        <v>180</v>
      </c>
      <c r="B656" s="883"/>
      <c r="C656" s="16">
        <f>SUM(C486:C655)</f>
        <v>2291302419.46</v>
      </c>
      <c r="D656" s="16">
        <f t="shared" ref="D656:AC656" si="273">SUM(D486:D655)</f>
        <v>71384588.849999994</v>
      </c>
      <c r="E656" s="396">
        <f t="shared" si="273"/>
        <v>40</v>
      </c>
      <c r="F656" s="16">
        <f t="shared" si="273"/>
        <v>59682498.880000003</v>
      </c>
      <c r="G656" s="16">
        <f t="shared" si="273"/>
        <v>47638772.25</v>
      </c>
      <c r="H656" s="16">
        <f t="shared" si="273"/>
        <v>66499659.170000002</v>
      </c>
      <c r="I656" s="16">
        <f t="shared" si="273"/>
        <v>268150512.50999999</v>
      </c>
      <c r="J656" s="396">
        <f t="shared" si="273"/>
        <v>66</v>
      </c>
      <c r="K656" s="16">
        <f t="shared" si="273"/>
        <v>186808663.90000001</v>
      </c>
      <c r="L656" s="16">
        <f t="shared" si="273"/>
        <v>65654637.920000002</v>
      </c>
      <c r="M656" s="16">
        <f t="shared" si="273"/>
        <v>23452524</v>
      </c>
      <c r="N656" s="396">
        <f t="shared" si="273"/>
        <v>5</v>
      </c>
      <c r="O656" s="16">
        <f t="shared" si="273"/>
        <v>16953045</v>
      </c>
      <c r="P656" s="16">
        <f t="shared" si="273"/>
        <v>656293894.28999996</v>
      </c>
      <c r="Q656" s="16">
        <f t="shared" si="273"/>
        <v>22771359.649999999</v>
      </c>
      <c r="R656" s="16">
        <f t="shared" si="273"/>
        <v>528945491.25999999</v>
      </c>
      <c r="S656" s="16">
        <f t="shared" si="273"/>
        <v>130316117.91</v>
      </c>
      <c r="T656" s="141"/>
      <c r="U656" s="141"/>
      <c r="V656" s="16">
        <f t="shared" si="273"/>
        <v>125820727.14</v>
      </c>
      <c r="W656" s="16">
        <f t="shared" si="273"/>
        <v>20542305.239999998</v>
      </c>
      <c r="X656" s="16">
        <f t="shared" si="273"/>
        <v>387621.49</v>
      </c>
      <c r="Y656" s="16">
        <f t="shared" si="273"/>
        <v>0</v>
      </c>
      <c r="Z656" s="16">
        <f t="shared" si="273"/>
        <v>1357561989.01</v>
      </c>
      <c r="AA656" s="16">
        <f t="shared" si="273"/>
        <v>0</v>
      </c>
      <c r="AB656" s="16">
        <f t="shared" si="273"/>
        <v>933740430.45000005</v>
      </c>
      <c r="AC656" s="16">
        <f t="shared" si="273"/>
        <v>0</v>
      </c>
      <c r="AD656" s="798" t="s">
        <v>29</v>
      </c>
      <c r="AE656" s="798" t="s">
        <v>29</v>
      </c>
      <c r="AF656" s="146"/>
      <c r="AG656" s="147"/>
    </row>
    <row r="657" spans="1:33" ht="24" customHeight="1">
      <c r="A657" s="888" t="s">
        <v>360</v>
      </c>
      <c r="B657" s="888"/>
      <c r="C657" s="888"/>
      <c r="D657" s="888"/>
      <c r="E657" s="888"/>
      <c r="F657" s="888"/>
      <c r="G657" s="888"/>
      <c r="H657" s="888"/>
      <c r="I657" s="888"/>
      <c r="J657" s="888"/>
      <c r="K657" s="888"/>
      <c r="L657" s="888"/>
      <c r="M657" s="888"/>
      <c r="N657" s="888"/>
      <c r="O657" s="888"/>
      <c r="P657" s="888"/>
      <c r="Q657" s="888"/>
      <c r="R657" s="888"/>
      <c r="S657" s="888"/>
      <c r="T657" s="889"/>
      <c r="U657" s="889"/>
      <c r="V657" s="888"/>
      <c r="W657" s="888"/>
      <c r="X657" s="888"/>
      <c r="Y657" s="888"/>
      <c r="Z657" s="888"/>
      <c r="AA657" s="888"/>
      <c r="AB657" s="888"/>
      <c r="AC657" s="888"/>
      <c r="AD657" s="888"/>
      <c r="AE657" s="888"/>
      <c r="AF657" s="808"/>
      <c r="AG657" s="806"/>
    </row>
    <row r="658" spans="1:33" ht="24" customHeight="1">
      <c r="A658" s="426">
        <f>A655+1</f>
        <v>237</v>
      </c>
      <c r="B658" s="680" t="s">
        <v>686</v>
      </c>
      <c r="C658" s="418">
        <f t="shared" ref="C658" si="274">D658+F658+G658+H658+I658+K658+L658+M658+O658+P658+Q658+R658+S658+W658+V658+X658</f>
        <v>52711803.119999997</v>
      </c>
      <c r="D658" s="510"/>
      <c r="E658" s="510"/>
      <c r="F658" s="510"/>
      <c r="G658" s="605"/>
      <c r="H658" s="510"/>
      <c r="I658" s="676">
        <v>11886138.33</v>
      </c>
      <c r="J658" s="510"/>
      <c r="K658" s="510"/>
      <c r="L658" s="605"/>
      <c r="M658" s="605"/>
      <c r="N658" s="605"/>
      <c r="O658" s="605"/>
      <c r="P658" s="424">
        <v>12956276.17</v>
      </c>
      <c r="Q658" s="424"/>
      <c r="R658" s="427">
        <v>23727426.07</v>
      </c>
      <c r="S658" s="510"/>
      <c r="T658" s="510"/>
      <c r="U658" s="510"/>
      <c r="V658" s="677">
        <v>3539726.33</v>
      </c>
      <c r="W658" s="427">
        <v>602236.22</v>
      </c>
      <c r="X658" s="510"/>
      <c r="Y658" s="678">
        <f>C658*71%</f>
        <v>37425380.219999999</v>
      </c>
      <c r="Z658" s="678">
        <f>C658*29%</f>
        <v>15286422.9</v>
      </c>
      <c r="AA658" s="510"/>
      <c r="AB658" s="425"/>
      <c r="AC658" s="510"/>
      <c r="AD658" s="426">
        <v>2024</v>
      </c>
      <c r="AE658" s="426">
        <v>2024</v>
      </c>
      <c r="AF658" s="679"/>
      <c r="AG658" s="262"/>
    </row>
    <row r="659" spans="1:33" ht="24" customHeight="1">
      <c r="A659" s="319">
        <f>A658+1</f>
        <v>238</v>
      </c>
      <c r="B659" s="462" t="s">
        <v>687</v>
      </c>
      <c r="C659" s="453">
        <f t="shared" ref="C659" si="275">D659+F659+G659+H659+I659+K659+L659+M659+O659+P659+Q659+R659+S659+W659+V659+X659</f>
        <v>52741783.93</v>
      </c>
      <c r="D659" s="454"/>
      <c r="E659" s="454"/>
      <c r="F659" s="454"/>
      <c r="G659" s="455"/>
      <c r="H659" s="454"/>
      <c r="I659" s="456">
        <v>11847408.65</v>
      </c>
      <c r="J659" s="454"/>
      <c r="K659" s="454"/>
      <c r="L659" s="455"/>
      <c r="M659" s="455"/>
      <c r="N659" s="455"/>
      <c r="O659" s="455"/>
      <c r="P659" s="457">
        <v>12721680.869999999</v>
      </c>
      <c r="Q659" s="457"/>
      <c r="R659" s="458">
        <v>24044228</v>
      </c>
      <c r="S659" s="454"/>
      <c r="T659" s="454"/>
      <c r="U659" s="454"/>
      <c r="V659" s="459">
        <v>3528192.53</v>
      </c>
      <c r="W659" s="458">
        <v>600273.88</v>
      </c>
      <c r="X659" s="454"/>
      <c r="Y659" s="460">
        <f t="shared" ref="Y659" si="276">C659*71%</f>
        <v>37446666.590000004</v>
      </c>
      <c r="Z659" s="460">
        <f t="shared" ref="Z659" si="277">C659*29%</f>
        <v>15295117.34</v>
      </c>
      <c r="AA659" s="454"/>
      <c r="AB659" s="461"/>
      <c r="AC659" s="454"/>
      <c r="AD659" s="319">
        <v>2024</v>
      </c>
      <c r="AE659" s="319">
        <v>2024</v>
      </c>
      <c r="AF659" s="365"/>
      <c r="AG659" s="262"/>
    </row>
    <row r="660" spans="1:33" ht="24" customHeight="1">
      <c r="A660" s="319">
        <f t="shared" ref="A660:A667" si="278">A659+1</f>
        <v>239</v>
      </c>
      <c r="B660" s="390" t="s">
        <v>688</v>
      </c>
      <c r="C660" s="232">
        <f t="shared" ref="C660:C662" si="279">D660+F660+G660+H660+I660+K660+L660+M660+O660+P660+Q660+R660+S660+W660+V660+X660</f>
        <v>49147618.399999999</v>
      </c>
      <c r="D660" s="254"/>
      <c r="E660" s="254"/>
      <c r="F660" s="254"/>
      <c r="G660" s="799"/>
      <c r="H660" s="254"/>
      <c r="I660" s="255">
        <v>10677772.359999999</v>
      </c>
      <c r="J660" s="254"/>
      <c r="K660" s="254"/>
      <c r="L660" s="799"/>
      <c r="M660" s="799"/>
      <c r="N660" s="799"/>
      <c r="O660" s="799"/>
      <c r="P660" s="253">
        <v>11671748.890000001</v>
      </c>
      <c r="Q660" s="253"/>
      <c r="R660" s="238">
        <v>23077213.890000001</v>
      </c>
      <c r="S660" s="254"/>
      <c r="T660" s="254"/>
      <c r="U660" s="254"/>
      <c r="V660" s="258">
        <v>3179871.47</v>
      </c>
      <c r="W660" s="238">
        <v>541011.79</v>
      </c>
      <c r="X660" s="254"/>
      <c r="Y660" s="259">
        <f t="shared" ref="Y660:Y661" si="280">C660*71%</f>
        <v>34894809.060000002</v>
      </c>
      <c r="Z660" s="259">
        <f t="shared" ref="Z660:Z662" si="281">C660*29%</f>
        <v>14252809.34</v>
      </c>
      <c r="AA660" s="254"/>
      <c r="AB660" s="230"/>
      <c r="AC660" s="254"/>
      <c r="AD660" s="231">
        <v>2024</v>
      </c>
      <c r="AE660" s="231">
        <v>2024</v>
      </c>
      <c r="AF660" s="365"/>
      <c r="AG660" s="262"/>
    </row>
    <row r="661" spans="1:33" ht="24" customHeight="1">
      <c r="A661" s="231">
        <f t="shared" si="278"/>
        <v>240</v>
      </c>
      <c r="B661" s="390" t="s">
        <v>689</v>
      </c>
      <c r="C661" s="232">
        <f t="shared" si="279"/>
        <v>48078029.310000002</v>
      </c>
      <c r="D661" s="254"/>
      <c r="E661" s="254"/>
      <c r="F661" s="254"/>
      <c r="G661" s="799"/>
      <c r="H661" s="254"/>
      <c r="I661" s="255">
        <v>10445394.289999999</v>
      </c>
      <c r="J661" s="254"/>
      <c r="K661" s="254"/>
      <c r="L661" s="799"/>
      <c r="M661" s="799"/>
      <c r="N661" s="799"/>
      <c r="O661" s="799"/>
      <c r="P661" s="256">
        <v>11417739.119999999</v>
      </c>
      <c r="Q661" s="253"/>
      <c r="R661" s="238">
        <v>22574989.43</v>
      </c>
      <c r="S661" s="254"/>
      <c r="T661" s="254"/>
      <c r="U661" s="254"/>
      <c r="V661" s="258">
        <v>3110668.6</v>
      </c>
      <c r="W661" s="238">
        <v>529237.87</v>
      </c>
      <c r="X661" s="254"/>
      <c r="Y661" s="259">
        <f t="shared" si="280"/>
        <v>34135400.810000002</v>
      </c>
      <c r="Z661" s="259">
        <f t="shared" si="281"/>
        <v>13942628.5</v>
      </c>
      <c r="AA661" s="254"/>
      <c r="AB661" s="230"/>
      <c r="AC661" s="254"/>
      <c r="AD661" s="231">
        <v>2024</v>
      </c>
      <c r="AE661" s="231">
        <v>2024</v>
      </c>
      <c r="AF661" s="365"/>
      <c r="AG661" s="262"/>
    </row>
    <row r="662" spans="1:33" ht="24" customHeight="1">
      <c r="A662" s="231">
        <f t="shared" si="278"/>
        <v>241</v>
      </c>
      <c r="B662" s="390" t="s">
        <v>690</v>
      </c>
      <c r="C662" s="232">
        <f t="shared" si="279"/>
        <v>35910515.5</v>
      </c>
      <c r="D662" s="254"/>
      <c r="E662" s="254"/>
      <c r="F662" s="254"/>
      <c r="G662" s="799"/>
      <c r="H662" s="254"/>
      <c r="I662" s="255">
        <v>10499615.84</v>
      </c>
      <c r="J662" s="254"/>
      <c r="K662" s="254"/>
      <c r="L662" s="799"/>
      <c r="M662" s="799"/>
      <c r="N662" s="799"/>
      <c r="O662" s="799"/>
      <c r="P662" s="256"/>
      <c r="Q662" s="253"/>
      <c r="R662" s="238">
        <v>22692175.140000001</v>
      </c>
      <c r="S662" s="254"/>
      <c r="T662" s="254"/>
      <c r="U662" s="254"/>
      <c r="V662" s="258">
        <v>2323425.36</v>
      </c>
      <c r="W662" s="238">
        <v>395299.16</v>
      </c>
      <c r="X662" s="254"/>
      <c r="Y662" s="259">
        <f>ROUNDDOWN(C662*71%,2)</f>
        <v>25496466</v>
      </c>
      <c r="Z662" s="259">
        <f t="shared" si="281"/>
        <v>10414049.5</v>
      </c>
      <c r="AA662" s="254"/>
      <c r="AB662" s="230"/>
      <c r="AC662" s="254"/>
      <c r="AD662" s="231">
        <v>2024</v>
      </c>
      <c r="AE662" s="231">
        <v>2024</v>
      </c>
      <c r="AF662" s="365"/>
      <c r="AG662" s="262"/>
    </row>
    <row r="663" spans="1:33" ht="24" customHeight="1">
      <c r="A663" s="231">
        <f t="shared" si="278"/>
        <v>242</v>
      </c>
      <c r="B663" s="390" t="s">
        <v>691</v>
      </c>
      <c r="C663" s="232">
        <f>D663+F663+G663+H663+I663+K663+L663+M663+O663+P663+Q663+R663+S663+W663+V663+X663+U663</f>
        <v>29987380.370000001</v>
      </c>
      <c r="D663" s="254"/>
      <c r="E663" s="254"/>
      <c r="F663" s="254"/>
      <c r="G663" s="799"/>
      <c r="H663" s="254"/>
      <c r="I663" s="255">
        <v>8033197.0300000003</v>
      </c>
      <c r="J663" s="254"/>
      <c r="K663" s="254"/>
      <c r="L663" s="799"/>
      <c r="M663" s="799"/>
      <c r="N663" s="799"/>
      <c r="O663" s="799"/>
      <c r="P663" s="256"/>
      <c r="Q663" s="253"/>
      <c r="R663" s="256">
        <v>17361655.59</v>
      </c>
      <c r="S663" s="254"/>
      <c r="T663" s="257">
        <v>3</v>
      </c>
      <c r="U663" s="242">
        <f>879426.46*3</f>
        <v>2638279.38</v>
      </c>
      <c r="V663" s="258">
        <v>1777639.67</v>
      </c>
      <c r="W663" s="238">
        <f>159987.54+16621.16</f>
        <v>176608.7</v>
      </c>
      <c r="X663" s="254"/>
      <c r="Y663" s="259">
        <f>27332479.83*71%</f>
        <v>19406060.68</v>
      </c>
      <c r="Z663" s="259">
        <f>27332479.83*29%+2654900.54</f>
        <v>10581319.689999999</v>
      </c>
      <c r="AA663" s="254"/>
      <c r="AB663" s="230"/>
      <c r="AC663" s="260"/>
      <c r="AD663" s="231">
        <v>2024</v>
      </c>
      <c r="AE663" s="231">
        <v>2024</v>
      </c>
      <c r="AF663" s="365"/>
      <c r="AG663" s="262"/>
    </row>
    <row r="664" spans="1:33" ht="24" customHeight="1">
      <c r="A664" s="231">
        <f t="shared" si="278"/>
        <v>243</v>
      </c>
      <c r="B664" s="390" t="s">
        <v>692</v>
      </c>
      <c r="C664" s="232">
        <f>D664+F664+G664+H664+I664+K664+L664+M664+O664+P664+Q664+R664+S664+W664+V664+X664+U664</f>
        <v>29956919.73</v>
      </c>
      <c r="D664" s="254"/>
      <c r="E664" s="254"/>
      <c r="F664" s="254"/>
      <c r="G664" s="799"/>
      <c r="H664" s="254"/>
      <c r="I664" s="255">
        <v>8024244.4500000002</v>
      </c>
      <c r="J664" s="254"/>
      <c r="K664" s="254"/>
      <c r="L664" s="799"/>
      <c r="M664" s="799"/>
      <c r="N664" s="799"/>
      <c r="O664" s="799"/>
      <c r="P664" s="256"/>
      <c r="Q664" s="253"/>
      <c r="R664" s="238">
        <v>17342306.91</v>
      </c>
      <c r="S664" s="254"/>
      <c r="T664" s="257">
        <v>3</v>
      </c>
      <c r="U664" s="242">
        <f>879426.46*3</f>
        <v>2638279.38</v>
      </c>
      <c r="V664" s="258">
        <v>1775658.59</v>
      </c>
      <c r="W664" s="238">
        <v>176430.4</v>
      </c>
      <c r="X664" s="254"/>
      <c r="Y664" s="259">
        <f>27302019.19*71%</f>
        <v>19384433.620000001</v>
      </c>
      <c r="Z664" s="259">
        <f>27302019.19*29%+2654900.54</f>
        <v>10572486.109999999</v>
      </c>
      <c r="AA664" s="254"/>
      <c r="AB664" s="230"/>
      <c r="AC664" s="260"/>
      <c r="AD664" s="231">
        <v>2024</v>
      </c>
      <c r="AE664" s="231">
        <v>2024</v>
      </c>
      <c r="AF664" s="365"/>
      <c r="AG664" s="262"/>
    </row>
    <row r="665" spans="1:33" ht="24" customHeight="1">
      <c r="A665" s="231">
        <f t="shared" si="278"/>
        <v>244</v>
      </c>
      <c r="B665" s="390" t="s">
        <v>693</v>
      </c>
      <c r="C665" s="232">
        <f>D665+F665+G665+H665+I665+K665+L665+M665+O665+P665+Q665+R665+S665+W665+V665+X665+U665</f>
        <v>29024029.629999999</v>
      </c>
      <c r="D665" s="254"/>
      <c r="E665" s="254"/>
      <c r="F665" s="254"/>
      <c r="G665" s="799"/>
      <c r="H665" s="254"/>
      <c r="I665" s="255">
        <v>7775128.9299999997</v>
      </c>
      <c r="J665" s="254"/>
      <c r="K665" s="254"/>
      <c r="L665" s="799"/>
      <c r="M665" s="799"/>
      <c r="N665" s="799"/>
      <c r="O665" s="799"/>
      <c r="P665" s="256"/>
      <c r="Q665" s="253"/>
      <c r="R665" s="238">
        <v>16803908.829999998</v>
      </c>
      <c r="S665" s="254"/>
      <c r="T665" s="257">
        <v>3</v>
      </c>
      <c r="U665" s="242">
        <f>851174.7*3</f>
        <v>2553524.1</v>
      </c>
      <c r="V665" s="258">
        <v>1720532.65</v>
      </c>
      <c r="W665" s="238">
        <v>170935.12</v>
      </c>
      <c r="X665" s="254"/>
      <c r="Y665" s="259">
        <f>26454418.32*71%</f>
        <v>18782637.010000002</v>
      </c>
      <c r="Z665" s="259">
        <f>26454418.32*29%+2569611.31</f>
        <v>10241392.619999999</v>
      </c>
      <c r="AA665" s="254"/>
      <c r="AB665" s="230"/>
      <c r="AC665" s="260"/>
      <c r="AD665" s="231">
        <v>2024</v>
      </c>
      <c r="AE665" s="231">
        <v>2024</v>
      </c>
      <c r="AF665" s="365"/>
      <c r="AG665" s="262"/>
    </row>
    <row r="666" spans="1:33" s="26" customFormat="1" ht="24" customHeight="1">
      <c r="A666" s="231">
        <f t="shared" si="278"/>
        <v>245</v>
      </c>
      <c r="B666" s="263" t="s">
        <v>302</v>
      </c>
      <c r="C666" s="232">
        <f>D666+F666+G666+H666+I666+K666+L666+M666+O666+P666+Q666+R666+S666+W666+V666+X666</f>
        <v>12307352</v>
      </c>
      <c r="D666" s="228"/>
      <c r="E666" s="228"/>
      <c r="F666" s="228"/>
      <c r="G666" s="182"/>
      <c r="H666" s="234"/>
      <c r="I666" s="234"/>
      <c r="J666" s="229"/>
      <c r="K666" s="228"/>
      <c r="L666" s="182"/>
      <c r="M666" s="185"/>
      <c r="N666" s="185"/>
      <c r="O666" s="185"/>
      <c r="P666" s="228">
        <f>ROUND(3078.5*3727.29,2)</f>
        <v>11474462.27</v>
      </c>
      <c r="Q666" s="228"/>
      <c r="R666" s="229"/>
      <c r="S666" s="234"/>
      <c r="T666" s="234"/>
      <c r="U666" s="234"/>
      <c r="V666" s="236">
        <v>660772.80000000005</v>
      </c>
      <c r="W666" s="230">
        <f>ROUND((D666+F666+G666+H666+I666+K666+Q666+S666+L666+P666)*1.5%,2)</f>
        <v>172116.93</v>
      </c>
      <c r="X666" s="229"/>
      <c r="Y666" s="229"/>
      <c r="Z666" s="229"/>
      <c r="AA666" s="229"/>
      <c r="AB666" s="230">
        <f>C666</f>
        <v>12307352</v>
      </c>
      <c r="AC666" s="231"/>
      <c r="AD666" s="231">
        <v>2024</v>
      </c>
      <c r="AE666" s="231">
        <v>2024</v>
      </c>
      <c r="AF666" s="91"/>
      <c r="AG666" s="91"/>
    </row>
    <row r="667" spans="1:33" s="26" customFormat="1" ht="24" customHeight="1">
      <c r="A667" s="231">
        <f t="shared" si="278"/>
        <v>246</v>
      </c>
      <c r="B667" s="200" t="s">
        <v>218</v>
      </c>
      <c r="C667" s="4">
        <f>D667+F667+G667+H667+I667+K667+L667+M667+O667+P667+Q667+R667+S667+W667+V667+X667</f>
        <v>2331109.02</v>
      </c>
      <c r="D667" s="9"/>
      <c r="E667" s="9"/>
      <c r="F667" s="9"/>
      <c r="G667" s="12"/>
      <c r="H667" s="13"/>
      <c r="I667" s="13"/>
      <c r="J667" s="21"/>
      <c r="K667" s="9"/>
      <c r="L667" s="12"/>
      <c r="M667" s="22"/>
      <c r="N667" s="22"/>
      <c r="O667" s="22"/>
      <c r="P667" s="9"/>
      <c r="Q667" s="9"/>
      <c r="R667" s="21"/>
      <c r="S667" s="13">
        <f>1272.1*1462.9</f>
        <v>1860955.09</v>
      </c>
      <c r="T667" s="201"/>
      <c r="U667" s="13"/>
      <c r="V667" s="3">
        <v>442239.6</v>
      </c>
      <c r="W667" s="24">
        <f t="shared" ref="W667" si="282">ROUND((D667+F667+G667+H667+I667+K667+Q667+S667+L667)*1.5%,2)</f>
        <v>27914.33</v>
      </c>
      <c r="X667" s="21"/>
      <c r="Y667" s="21"/>
      <c r="Z667" s="21"/>
      <c r="AA667" s="21"/>
      <c r="AB667" s="24">
        <f>C667</f>
        <v>2331109.02</v>
      </c>
      <c r="AC667" s="18"/>
      <c r="AD667" s="18">
        <v>2024</v>
      </c>
      <c r="AE667" s="18">
        <v>2024</v>
      </c>
      <c r="AF667" s="25"/>
      <c r="AG667" s="91"/>
    </row>
    <row r="668" spans="1:33" s="26" customFormat="1" ht="24" customHeight="1">
      <c r="A668" s="112">
        <f t="shared" ref="A668:A704" si="283">A667+1</f>
        <v>247</v>
      </c>
      <c r="B668" s="200" t="s">
        <v>219</v>
      </c>
      <c r="C668" s="4">
        <f t="shared" ref="C668:C679" si="284">D668+F668+G668+H668+I668+K668+L668+M668+O668+P668+Q668+R668+S668+W668+V668+X668</f>
        <v>15007064.539999999</v>
      </c>
      <c r="D668" s="9"/>
      <c r="E668" s="21"/>
      <c r="F668" s="21"/>
      <c r="G668" s="12"/>
      <c r="H668" s="21"/>
      <c r="I668" s="13"/>
      <c r="J668" s="21"/>
      <c r="K668" s="9"/>
      <c r="L668" s="12"/>
      <c r="M668" s="22"/>
      <c r="N668" s="22"/>
      <c r="O668" s="22"/>
      <c r="P668" s="21"/>
      <c r="Q668" s="49">
        <f>1988.7*1954.25</f>
        <v>3886416.98</v>
      </c>
      <c r="R668" s="3">
        <f>1988.7*3842.27</f>
        <v>7641122.3499999996</v>
      </c>
      <c r="S668" s="9">
        <f>1988.7*1135.41</f>
        <v>2257989.87</v>
      </c>
      <c r="T668" s="9"/>
      <c r="U668" s="9"/>
      <c r="V668" s="3">
        <v>1014752.4</v>
      </c>
      <c r="W668" s="24">
        <v>206782.94</v>
      </c>
      <c r="X668" s="21"/>
      <c r="Y668" s="21"/>
      <c r="Z668" s="21"/>
      <c r="AA668" s="21"/>
      <c r="AB668" s="24">
        <f t="shared" ref="AB668:AB679" si="285">C668</f>
        <v>15007064.539999999</v>
      </c>
      <c r="AC668" s="18"/>
      <c r="AD668" s="18">
        <v>2024</v>
      </c>
      <c r="AE668" s="18">
        <v>2024</v>
      </c>
      <c r="AF668" s="25"/>
      <c r="AG668" s="91"/>
    </row>
    <row r="669" spans="1:33" s="26" customFormat="1" ht="24" customHeight="1">
      <c r="A669" s="231">
        <f t="shared" si="283"/>
        <v>248</v>
      </c>
      <c r="B669" s="202" t="s">
        <v>220</v>
      </c>
      <c r="C669" s="232">
        <f t="shared" si="284"/>
        <v>11272249.199999999</v>
      </c>
      <c r="D669" s="228"/>
      <c r="E669" s="229"/>
      <c r="F669" s="229"/>
      <c r="G669" s="182"/>
      <c r="H669" s="234"/>
      <c r="I669" s="234"/>
      <c r="J669" s="229"/>
      <c r="K669" s="228"/>
      <c r="L669" s="182"/>
      <c r="M669" s="185"/>
      <c r="N669" s="185"/>
      <c r="O669" s="185"/>
      <c r="P669" s="228"/>
      <c r="Q669" s="298"/>
      <c r="R669" s="236">
        <f>1955.5*3842.27</f>
        <v>7513558.9900000002</v>
      </c>
      <c r="S669" s="228">
        <f>1955.5*1462.9</f>
        <v>2860700.95</v>
      </c>
      <c r="T669" s="228"/>
      <c r="U669" s="228"/>
      <c r="V669" s="417">
        <v>742375.36</v>
      </c>
      <c r="W669" s="230">
        <v>155613.9</v>
      </c>
      <c r="X669" s="229"/>
      <c r="Y669" s="229"/>
      <c r="Z669" s="229"/>
      <c r="AA669" s="229"/>
      <c r="AB669" s="230">
        <f t="shared" si="285"/>
        <v>11272249.199999999</v>
      </c>
      <c r="AC669" s="231"/>
      <c r="AD669" s="231">
        <v>2024</v>
      </c>
      <c r="AE669" s="231">
        <v>2024</v>
      </c>
      <c r="AF669" s="25"/>
      <c r="AG669" s="91"/>
    </row>
    <row r="670" spans="1:33" s="26" customFormat="1" ht="24" customHeight="1">
      <c r="A670" s="112">
        <f t="shared" si="283"/>
        <v>249</v>
      </c>
      <c r="B670" s="48" t="s">
        <v>221</v>
      </c>
      <c r="C670" s="4">
        <f t="shared" si="284"/>
        <v>10575099.01</v>
      </c>
      <c r="D670" s="9"/>
      <c r="E670" s="21"/>
      <c r="F670" s="21"/>
      <c r="G670" s="12"/>
      <c r="H670" s="13"/>
      <c r="I670" s="13"/>
      <c r="J670" s="21"/>
      <c r="K670" s="9"/>
      <c r="L670" s="12"/>
      <c r="M670" s="22"/>
      <c r="N670" s="22"/>
      <c r="O670" s="22"/>
      <c r="P670" s="9">
        <f>1272.9*7807.38</f>
        <v>9938014</v>
      </c>
      <c r="Q670" s="9"/>
      <c r="R670" s="9"/>
      <c r="S670" s="9"/>
      <c r="T670" s="9"/>
      <c r="U670" s="9"/>
      <c r="V670" s="3">
        <v>488014.8</v>
      </c>
      <c r="W670" s="24">
        <f>ROUND((D670+F670+G670+H670+I670+K670+Q670+S670+L670+R670+P670)*1.5%,2)</f>
        <v>149070.21</v>
      </c>
      <c r="X670" s="21"/>
      <c r="Y670" s="21"/>
      <c r="Z670" s="21"/>
      <c r="AA670" s="21"/>
      <c r="AB670" s="24">
        <f t="shared" si="285"/>
        <v>10575099.01</v>
      </c>
      <c r="AC670" s="18"/>
      <c r="AD670" s="18">
        <v>2024</v>
      </c>
      <c r="AE670" s="18">
        <v>2024</v>
      </c>
      <c r="AF670" s="25"/>
      <c r="AG670" s="91"/>
    </row>
    <row r="671" spans="1:33" s="26" customFormat="1" ht="24" customHeight="1">
      <c r="A671" s="112">
        <f t="shared" si="283"/>
        <v>250</v>
      </c>
      <c r="B671" s="203" t="s">
        <v>222</v>
      </c>
      <c r="C671" s="4">
        <f t="shared" si="284"/>
        <v>10636341.09</v>
      </c>
      <c r="D671" s="9"/>
      <c r="E671" s="21"/>
      <c r="F671" s="21"/>
      <c r="G671" s="12"/>
      <c r="H671" s="13"/>
      <c r="I671" s="13"/>
      <c r="J671" s="21"/>
      <c r="K671" s="9"/>
      <c r="L671" s="12"/>
      <c r="M671" s="22"/>
      <c r="N671" s="22"/>
      <c r="O671" s="22"/>
      <c r="P671" s="9">
        <f>1280.4*7807.38</f>
        <v>9996569.3499999996</v>
      </c>
      <c r="Q671" s="12"/>
      <c r="R671" s="9"/>
      <c r="S671" s="9"/>
      <c r="T671" s="9"/>
      <c r="U671" s="9"/>
      <c r="V671" s="3">
        <v>489823.2</v>
      </c>
      <c r="W671" s="24">
        <f>P671*1.5%</f>
        <v>149948.54</v>
      </c>
      <c r="X671" s="21"/>
      <c r="Y671" s="21"/>
      <c r="Z671" s="21"/>
      <c r="AA671" s="21"/>
      <c r="AB671" s="24">
        <f t="shared" si="285"/>
        <v>10636341.09</v>
      </c>
      <c r="AC671" s="18"/>
      <c r="AD671" s="18">
        <v>2024</v>
      </c>
      <c r="AE671" s="18">
        <v>2024</v>
      </c>
      <c r="AF671" s="25"/>
      <c r="AG671" s="91"/>
    </row>
    <row r="672" spans="1:33" s="26" customFormat="1" ht="24" customHeight="1">
      <c r="A672" s="112">
        <f t="shared" si="283"/>
        <v>251</v>
      </c>
      <c r="B672" s="48" t="s">
        <v>223</v>
      </c>
      <c r="C672" s="4">
        <f t="shared" si="284"/>
        <v>6498352.6699999999</v>
      </c>
      <c r="D672" s="21"/>
      <c r="E672" s="21"/>
      <c r="F672" s="21"/>
      <c r="G672" s="12"/>
      <c r="H672" s="21"/>
      <c r="I672" s="13"/>
      <c r="J672" s="21"/>
      <c r="K672" s="9"/>
      <c r="L672" s="12"/>
      <c r="M672" s="12"/>
      <c r="N672" s="12"/>
      <c r="O672" s="12"/>
      <c r="P672" s="12">
        <f>1590.7*3617.12</f>
        <v>5753752.7800000003</v>
      </c>
      <c r="Q672" s="12"/>
      <c r="R672" s="21"/>
      <c r="S672" s="21"/>
      <c r="T672" s="21"/>
      <c r="U672" s="21"/>
      <c r="V672" s="3">
        <v>658293.6</v>
      </c>
      <c r="W672" s="24">
        <f>P672*1.5%</f>
        <v>86306.29</v>
      </c>
      <c r="X672" s="21"/>
      <c r="Y672" s="21"/>
      <c r="Z672" s="21"/>
      <c r="AA672" s="21"/>
      <c r="AB672" s="24">
        <f t="shared" si="285"/>
        <v>6498352.6699999999</v>
      </c>
      <c r="AC672" s="18"/>
      <c r="AD672" s="18">
        <v>2024</v>
      </c>
      <c r="AE672" s="18">
        <v>2024</v>
      </c>
      <c r="AF672" s="25"/>
      <c r="AG672" s="91"/>
    </row>
    <row r="673" spans="1:34" s="26" customFormat="1" ht="24" customHeight="1">
      <c r="A673" s="112">
        <f t="shared" si="283"/>
        <v>252</v>
      </c>
      <c r="B673" s="48" t="s">
        <v>542</v>
      </c>
      <c r="C673" s="4">
        <f t="shared" si="284"/>
        <v>8590082.5500000007</v>
      </c>
      <c r="D673" s="21"/>
      <c r="E673" s="21"/>
      <c r="F673" s="21"/>
      <c r="G673" s="12"/>
      <c r="H673" s="21"/>
      <c r="I673" s="13"/>
      <c r="J673" s="21"/>
      <c r="K673" s="9"/>
      <c r="L673" s="12"/>
      <c r="M673" s="12"/>
      <c r="N673" s="12"/>
      <c r="O673" s="12"/>
      <c r="P673" s="12">
        <v>8065805.21</v>
      </c>
      <c r="Q673" s="12"/>
      <c r="R673" s="21"/>
      <c r="S673" s="21"/>
      <c r="T673" s="21"/>
      <c r="U673" s="21"/>
      <c r="V673" s="3">
        <v>403290.26</v>
      </c>
      <c r="W673" s="24">
        <v>120987.08</v>
      </c>
      <c r="X673" s="21"/>
      <c r="Y673" s="21"/>
      <c r="Z673" s="21"/>
      <c r="AA673" s="21"/>
      <c r="AB673" s="24">
        <f t="shared" si="285"/>
        <v>8590082.5500000007</v>
      </c>
      <c r="AC673" s="18"/>
      <c r="AD673" s="18">
        <v>2024</v>
      </c>
      <c r="AE673" s="18">
        <v>2025</v>
      </c>
      <c r="AF673" s="25"/>
      <c r="AG673" s="91"/>
    </row>
    <row r="674" spans="1:34" s="26" customFormat="1" ht="24" customHeight="1">
      <c r="A674" s="112">
        <f t="shared" si="283"/>
        <v>253</v>
      </c>
      <c r="B674" s="48" t="s">
        <v>543</v>
      </c>
      <c r="C674" s="4">
        <f t="shared" si="284"/>
        <v>9213397.5399999991</v>
      </c>
      <c r="D674" s="21"/>
      <c r="E674" s="21"/>
      <c r="F674" s="21"/>
      <c r="G674" s="12"/>
      <c r="H674" s="21"/>
      <c r="I674" s="13"/>
      <c r="J674" s="21"/>
      <c r="K674" s="9"/>
      <c r="L674" s="12"/>
      <c r="M674" s="12"/>
      <c r="N674" s="12"/>
      <c r="O674" s="12"/>
      <c r="P674" s="12">
        <v>8651077.5</v>
      </c>
      <c r="Q674" s="12"/>
      <c r="R674" s="21"/>
      <c r="S674" s="21"/>
      <c r="T674" s="21"/>
      <c r="U674" s="21"/>
      <c r="V674" s="3">
        <v>432553.88</v>
      </c>
      <c r="W674" s="24">
        <v>129766.16</v>
      </c>
      <c r="X674" s="21"/>
      <c r="Y674" s="21"/>
      <c r="Z674" s="21"/>
      <c r="AA674" s="21"/>
      <c r="AB674" s="24">
        <f t="shared" si="285"/>
        <v>9213397.5399999991</v>
      </c>
      <c r="AC674" s="18"/>
      <c r="AD674" s="18">
        <v>2024</v>
      </c>
      <c r="AE674" s="18">
        <v>2025</v>
      </c>
      <c r="AF674" s="25"/>
      <c r="AG674" s="91"/>
    </row>
    <row r="675" spans="1:34" s="26" customFormat="1" ht="24" customHeight="1">
      <c r="A675" s="112">
        <f t="shared" si="283"/>
        <v>254</v>
      </c>
      <c r="B675" s="48" t="s">
        <v>544</v>
      </c>
      <c r="C675" s="4">
        <f t="shared" si="284"/>
        <v>9165282</v>
      </c>
      <c r="D675" s="21"/>
      <c r="E675" s="21"/>
      <c r="F675" s="21"/>
      <c r="G675" s="12"/>
      <c r="H675" s="21"/>
      <c r="I675" s="13"/>
      <c r="J675" s="21"/>
      <c r="K675" s="9"/>
      <c r="L675" s="12"/>
      <c r="M675" s="12"/>
      <c r="N675" s="12"/>
      <c r="O675" s="12"/>
      <c r="P675" s="12">
        <v>8605898.5899999999</v>
      </c>
      <c r="Q675" s="12"/>
      <c r="R675" s="21"/>
      <c r="S675" s="21"/>
      <c r="T675" s="21"/>
      <c r="U675" s="21"/>
      <c r="V675" s="3">
        <v>430294.93</v>
      </c>
      <c r="W675" s="24">
        <f t="shared" ref="W675" si="286">P675*1.5%</f>
        <v>129088.48</v>
      </c>
      <c r="X675" s="21"/>
      <c r="Y675" s="21"/>
      <c r="Z675" s="21"/>
      <c r="AA675" s="21"/>
      <c r="AB675" s="24">
        <f t="shared" si="285"/>
        <v>9165282</v>
      </c>
      <c r="AC675" s="18"/>
      <c r="AD675" s="18">
        <v>2024</v>
      </c>
      <c r="AE675" s="18">
        <v>2025</v>
      </c>
      <c r="AF675" s="25"/>
      <c r="AG675" s="91"/>
    </row>
    <row r="676" spans="1:34" s="26" customFormat="1" ht="24" customHeight="1">
      <c r="A676" s="112">
        <f t="shared" si="283"/>
        <v>255</v>
      </c>
      <c r="B676" s="48" t="s">
        <v>545</v>
      </c>
      <c r="C676" s="4">
        <f t="shared" si="284"/>
        <v>25367733.120000001</v>
      </c>
      <c r="D676" s="21"/>
      <c r="E676" s="21"/>
      <c r="F676" s="21"/>
      <c r="G676" s="12"/>
      <c r="H676" s="21"/>
      <c r="I676" s="13"/>
      <c r="J676" s="21"/>
      <c r="K676" s="9"/>
      <c r="L676" s="12"/>
      <c r="M676" s="12"/>
      <c r="N676" s="12"/>
      <c r="O676" s="12"/>
      <c r="P676" s="12">
        <v>23819467.710000001</v>
      </c>
      <c r="Q676" s="12"/>
      <c r="R676" s="21"/>
      <c r="S676" s="21"/>
      <c r="T676" s="21"/>
      <c r="U676" s="21"/>
      <c r="V676" s="3">
        <f>P676*5%</f>
        <v>1190973.3899999999</v>
      </c>
      <c r="W676" s="24">
        <f>P676*1.5%</f>
        <v>357292.02</v>
      </c>
      <c r="X676" s="21"/>
      <c r="Y676" s="21"/>
      <c r="Z676" s="21"/>
      <c r="AA676" s="21"/>
      <c r="AB676" s="24">
        <f t="shared" si="285"/>
        <v>25367733.120000001</v>
      </c>
      <c r="AC676" s="18"/>
      <c r="AD676" s="18">
        <v>2024</v>
      </c>
      <c r="AE676" s="18">
        <v>2025</v>
      </c>
      <c r="AF676" s="25"/>
      <c r="AG676" s="91"/>
    </row>
    <row r="677" spans="1:34" s="26" customFormat="1" ht="24" customHeight="1">
      <c r="A677" s="112">
        <f t="shared" si="283"/>
        <v>256</v>
      </c>
      <c r="B677" s="48" t="s">
        <v>546</v>
      </c>
      <c r="C677" s="4">
        <f t="shared" si="284"/>
        <v>9558852.1899999995</v>
      </c>
      <c r="D677" s="21"/>
      <c r="E677" s="21"/>
      <c r="F677" s="21"/>
      <c r="G677" s="12"/>
      <c r="H677" s="21"/>
      <c r="I677" s="13"/>
      <c r="J677" s="21"/>
      <c r="K677" s="9"/>
      <c r="L677" s="12"/>
      <c r="M677" s="12"/>
      <c r="N677" s="12"/>
      <c r="O677" s="12"/>
      <c r="P677" s="12">
        <v>8975448.0700000003</v>
      </c>
      <c r="Q677" s="12"/>
      <c r="R677" s="21"/>
      <c r="S677" s="21"/>
      <c r="T677" s="21"/>
      <c r="U677" s="21"/>
      <c r="V677" s="3">
        <f t="shared" ref="V677:V679" si="287">P677*5%</f>
        <v>448772.4</v>
      </c>
      <c r="W677" s="24">
        <f t="shared" ref="W677:W679" si="288">P677*1.5%</f>
        <v>134631.72</v>
      </c>
      <c r="X677" s="21"/>
      <c r="Y677" s="21"/>
      <c r="Z677" s="21"/>
      <c r="AA677" s="21"/>
      <c r="AB677" s="24">
        <f t="shared" si="285"/>
        <v>9558852.1899999995</v>
      </c>
      <c r="AC677" s="18"/>
      <c r="AD677" s="18">
        <v>2024</v>
      </c>
      <c r="AE677" s="18">
        <v>2025</v>
      </c>
      <c r="AF677" s="25"/>
      <c r="AG677" s="91"/>
    </row>
    <row r="678" spans="1:34" s="26" customFormat="1" ht="24" customHeight="1">
      <c r="A678" s="231">
        <f t="shared" si="283"/>
        <v>257</v>
      </c>
      <c r="B678" s="263" t="s">
        <v>547</v>
      </c>
      <c r="C678" s="232">
        <f t="shared" si="284"/>
        <v>14709821.380000001</v>
      </c>
      <c r="D678" s="229"/>
      <c r="E678" s="229"/>
      <c r="F678" s="229"/>
      <c r="G678" s="182"/>
      <c r="H678" s="229"/>
      <c r="I678" s="234"/>
      <c r="J678" s="229"/>
      <c r="K678" s="228"/>
      <c r="L678" s="182"/>
      <c r="M678" s="182"/>
      <c r="N678" s="182"/>
      <c r="O678" s="182"/>
      <c r="P678" s="182">
        <v>13812038.859999999</v>
      </c>
      <c r="Q678" s="182"/>
      <c r="R678" s="229"/>
      <c r="S678" s="229"/>
      <c r="T678" s="229"/>
      <c r="U678" s="229"/>
      <c r="V678" s="236">
        <f t="shared" si="287"/>
        <v>690601.94</v>
      </c>
      <c r="W678" s="230">
        <f t="shared" si="288"/>
        <v>207180.58</v>
      </c>
      <c r="X678" s="229"/>
      <c r="Y678" s="229"/>
      <c r="Z678" s="229"/>
      <c r="AA678" s="229"/>
      <c r="AB678" s="230">
        <f t="shared" si="285"/>
        <v>14709821.380000001</v>
      </c>
      <c r="AC678" s="231"/>
      <c r="AD678" s="231">
        <v>2024</v>
      </c>
      <c r="AE678" s="231">
        <v>2024</v>
      </c>
      <c r="AF678" s="25"/>
      <c r="AG678" s="91"/>
    </row>
    <row r="679" spans="1:34" s="26" customFormat="1" ht="24" customHeight="1">
      <c r="A679" s="112">
        <f t="shared" si="283"/>
        <v>258</v>
      </c>
      <c r="B679" s="48" t="s">
        <v>548</v>
      </c>
      <c r="C679" s="4">
        <f t="shared" si="284"/>
        <v>9467171.9000000004</v>
      </c>
      <c r="D679" s="21"/>
      <c r="E679" s="21"/>
      <c r="F679" s="21"/>
      <c r="G679" s="12"/>
      <c r="H679" s="21"/>
      <c r="I679" s="13"/>
      <c r="J679" s="21"/>
      <c r="K679" s="9"/>
      <c r="L679" s="12"/>
      <c r="M679" s="12"/>
      <c r="N679" s="12"/>
      <c r="O679" s="12"/>
      <c r="P679" s="12">
        <v>8889363.2899999991</v>
      </c>
      <c r="Q679" s="12"/>
      <c r="R679" s="21"/>
      <c r="S679" s="21"/>
      <c r="T679" s="21"/>
      <c r="U679" s="21"/>
      <c r="V679" s="3">
        <f t="shared" si="287"/>
        <v>444468.16</v>
      </c>
      <c r="W679" s="24">
        <f t="shared" si="288"/>
        <v>133340.45000000001</v>
      </c>
      <c r="X679" s="21"/>
      <c r="Y679" s="21"/>
      <c r="Z679" s="21"/>
      <c r="AA679" s="21"/>
      <c r="AB679" s="24">
        <f t="shared" si="285"/>
        <v>9467171.9000000004</v>
      </c>
      <c r="AC679" s="18"/>
      <c r="AD679" s="18">
        <v>2024</v>
      </c>
      <c r="AE679" s="18">
        <v>2025</v>
      </c>
      <c r="AF679" s="25"/>
      <c r="AG679" s="91"/>
    </row>
    <row r="680" spans="1:34" s="26" customFormat="1" ht="24" customHeight="1">
      <c r="A680" s="231">
        <f t="shared" si="283"/>
        <v>259</v>
      </c>
      <c r="B680" s="263" t="s">
        <v>694</v>
      </c>
      <c r="C680" s="232">
        <f t="shared" ref="C680:C689" si="289">D680+F680+G680+H680+I680+K680+L680+M680+O680+P680+Q680+R680+S680+W680+V680+X680+U680</f>
        <v>78708676.400000006</v>
      </c>
      <c r="D680" s="238">
        <v>2995639.92</v>
      </c>
      <c r="E680" s="238"/>
      <c r="F680" s="238"/>
      <c r="G680" s="207">
        <v>2059981.56</v>
      </c>
      <c r="H680" s="238">
        <v>2956580.64</v>
      </c>
      <c r="I680" s="255">
        <v>11317852.26</v>
      </c>
      <c r="J680" s="238"/>
      <c r="K680" s="253"/>
      <c r="L680" s="207">
        <v>5070618.54</v>
      </c>
      <c r="M680" s="182"/>
      <c r="N680" s="182"/>
      <c r="O680" s="182"/>
      <c r="P680" s="207">
        <v>13498449.119999999</v>
      </c>
      <c r="Q680" s="207">
        <v>2635071.66</v>
      </c>
      <c r="R680" s="238">
        <v>24897492.359999999</v>
      </c>
      <c r="S680" s="238">
        <v>5783298.2999999998</v>
      </c>
      <c r="T680" s="229">
        <v>4</v>
      </c>
      <c r="U680" s="240">
        <f>708381.89*4</f>
        <v>2833527.56</v>
      </c>
      <c r="V680" s="258">
        <v>4494247.76</v>
      </c>
      <c r="W680" s="238">
        <v>165916.72</v>
      </c>
      <c r="X680" s="229"/>
      <c r="Y680" s="230">
        <f>75868135.86*71%</f>
        <v>53866376.460000001</v>
      </c>
      <c r="Z680" s="230">
        <f>75868135.86*29%+2840540.54</f>
        <v>24842299.940000001</v>
      </c>
      <c r="AA680" s="240"/>
      <c r="AB680" s="250"/>
      <c r="AC680" s="254"/>
      <c r="AD680" s="231">
        <v>2024</v>
      </c>
      <c r="AE680" s="231">
        <v>2024</v>
      </c>
      <c r="AF680" s="25"/>
      <c r="AG680" s="262"/>
    </row>
    <row r="681" spans="1:34" s="26" customFormat="1" ht="24" customHeight="1">
      <c r="A681" s="231">
        <f t="shared" si="283"/>
        <v>260</v>
      </c>
      <c r="B681" s="263" t="s">
        <v>695</v>
      </c>
      <c r="C681" s="232">
        <f t="shared" si="289"/>
        <v>56472187.07</v>
      </c>
      <c r="D681" s="238">
        <v>1335460.5</v>
      </c>
      <c r="E681" s="238"/>
      <c r="F681" s="238"/>
      <c r="G681" s="207">
        <v>1041029.22</v>
      </c>
      <c r="H681" s="238">
        <v>2382227.7599999998</v>
      </c>
      <c r="I681" s="255">
        <v>5474090.1600000001</v>
      </c>
      <c r="J681" s="238"/>
      <c r="K681" s="253"/>
      <c r="L681" s="207">
        <v>2530308.66</v>
      </c>
      <c r="M681" s="182"/>
      <c r="N681" s="182"/>
      <c r="O681" s="182"/>
      <c r="P681" s="207">
        <v>18488496.18</v>
      </c>
      <c r="Q681" s="207">
        <v>3279153.24</v>
      </c>
      <c r="R681" s="238">
        <v>13894846.02</v>
      </c>
      <c r="S681" s="238">
        <v>2885945.7</v>
      </c>
      <c r="T681" s="229">
        <v>3</v>
      </c>
      <c r="U681" s="240">
        <f>646978*3</f>
        <v>1940934</v>
      </c>
      <c r="V681" s="258">
        <v>3105104.23</v>
      </c>
      <c r="W681" s="238">
        <v>114591.4</v>
      </c>
      <c r="X681" s="229"/>
      <c r="Y681" s="230">
        <f>54526449.26*71%</f>
        <v>38713778.969999999</v>
      </c>
      <c r="Z681" s="230">
        <f>54526449.26*29%+1945737.81</f>
        <v>17758408.100000001</v>
      </c>
      <c r="AA681" s="244"/>
      <c r="AB681" s="230"/>
      <c r="AC681" s="260"/>
      <c r="AD681" s="231">
        <v>2024</v>
      </c>
      <c r="AE681" s="231">
        <v>2024</v>
      </c>
      <c r="AF681" s="25"/>
      <c r="AG681" s="262"/>
    </row>
    <row r="682" spans="1:34" s="26" customFormat="1" ht="24" customHeight="1">
      <c r="A682" s="231">
        <f t="shared" si="283"/>
        <v>261</v>
      </c>
      <c r="B682" s="263" t="s">
        <v>696</v>
      </c>
      <c r="C682" s="232">
        <f t="shared" si="289"/>
        <v>82320330.700000003</v>
      </c>
      <c r="D682" s="238">
        <v>2338796.52</v>
      </c>
      <c r="E682" s="238"/>
      <c r="F682" s="238"/>
      <c r="G682" s="207">
        <v>3131058.4</v>
      </c>
      <c r="H682" s="238">
        <v>2864891.04</v>
      </c>
      <c r="I682" s="255">
        <v>11848556.92</v>
      </c>
      <c r="J682" s="238"/>
      <c r="K682" s="253"/>
      <c r="L682" s="207">
        <v>5073952.28</v>
      </c>
      <c r="M682" s="182"/>
      <c r="N682" s="182"/>
      <c r="O682" s="182"/>
      <c r="P682" s="207">
        <v>12951519.880000001</v>
      </c>
      <c r="Q682" s="207">
        <v>3059707.04</v>
      </c>
      <c r="R682" s="256">
        <v>25607558.68</v>
      </c>
      <c r="S682" s="256">
        <v>5787100.5999999996</v>
      </c>
      <c r="T682" s="229">
        <v>5</v>
      </c>
      <c r="U682" s="240">
        <f>876017.5*5</f>
        <v>4380087.5</v>
      </c>
      <c r="V682" s="258">
        <v>5086419.8899999997</v>
      </c>
      <c r="W682" s="238">
        <v>190681.95</v>
      </c>
      <c r="X682" s="229"/>
      <c r="Y682" s="230">
        <f>77929402.49*71%</f>
        <v>55329875.770000003</v>
      </c>
      <c r="Z682" s="230">
        <f>77929402.49*29%+4390928.21</f>
        <v>26990454.93</v>
      </c>
      <c r="AA682" s="244"/>
      <c r="AB682" s="230"/>
      <c r="AC682" s="260"/>
      <c r="AD682" s="231">
        <v>2024</v>
      </c>
      <c r="AE682" s="231">
        <v>2024</v>
      </c>
      <c r="AF682" s="25"/>
      <c r="AG682" s="262"/>
    </row>
    <row r="683" spans="1:34" s="26" customFormat="1" ht="24" customHeight="1">
      <c r="A683" s="231">
        <f t="shared" si="283"/>
        <v>262</v>
      </c>
      <c r="B683" s="263" t="s">
        <v>697</v>
      </c>
      <c r="C683" s="232">
        <f t="shared" si="289"/>
        <v>75511680.920000002</v>
      </c>
      <c r="D683" s="238">
        <v>2600028.7200000002</v>
      </c>
      <c r="E683" s="238"/>
      <c r="F683" s="238"/>
      <c r="G683" s="207">
        <v>3480782.4</v>
      </c>
      <c r="H683" s="238">
        <v>3184885.44</v>
      </c>
      <c r="I683" s="255">
        <v>13171983.119999999</v>
      </c>
      <c r="J683" s="238"/>
      <c r="K683" s="253"/>
      <c r="L683" s="207">
        <v>5640688.0800000001</v>
      </c>
      <c r="M683" s="182"/>
      <c r="N683" s="182"/>
      <c r="O683" s="182"/>
      <c r="P683" s="207"/>
      <c r="Q683" s="207">
        <v>3401461.44</v>
      </c>
      <c r="R683" s="256">
        <v>28467798.48</v>
      </c>
      <c r="S683" s="256">
        <v>6433491.5999999996</v>
      </c>
      <c r="T683" s="229">
        <v>5</v>
      </c>
      <c r="U683" s="240">
        <f>861785.09*5</f>
        <v>4308925.45</v>
      </c>
      <c r="V683" s="258">
        <v>4646678.3499999996</v>
      </c>
      <c r="W683" s="308">
        <v>174957.84</v>
      </c>
      <c r="X683" s="229"/>
      <c r="Y683" s="230">
        <f>71192090.88*71%</f>
        <v>50546384.520000003</v>
      </c>
      <c r="Z683" s="230">
        <f>71192090.88*29%+4319590.04</f>
        <v>24965296.399999999</v>
      </c>
      <c r="AA683" s="244"/>
      <c r="AB683" s="230"/>
      <c r="AC683" s="260"/>
      <c r="AD683" s="231">
        <v>2024</v>
      </c>
      <c r="AE683" s="231">
        <v>2024</v>
      </c>
      <c r="AF683" s="25"/>
      <c r="AG683" s="262"/>
    </row>
    <row r="684" spans="1:34" s="26" customFormat="1" ht="24" customHeight="1">
      <c r="A684" s="426">
        <f t="shared" si="283"/>
        <v>263</v>
      </c>
      <c r="B684" s="683" t="s">
        <v>698</v>
      </c>
      <c r="C684" s="418">
        <f t="shared" si="289"/>
        <v>75017693.069999993</v>
      </c>
      <c r="D684" s="427">
        <v>2487060.38</v>
      </c>
      <c r="E684" s="427"/>
      <c r="F684" s="427"/>
      <c r="G684" s="617">
        <v>3174803.53</v>
      </c>
      <c r="H684" s="427">
        <v>3209355.6</v>
      </c>
      <c r="I684" s="676">
        <v>13273186.300000001</v>
      </c>
      <c r="J684" s="427"/>
      <c r="K684" s="424"/>
      <c r="L684" s="617">
        <v>4870785.82</v>
      </c>
      <c r="M684" s="578"/>
      <c r="N684" s="578"/>
      <c r="O684" s="578"/>
      <c r="P684" s="617"/>
      <c r="Q684" s="617">
        <v>3427595.6</v>
      </c>
      <c r="R684" s="681">
        <v>28686522.699999999</v>
      </c>
      <c r="S684" s="681">
        <v>6482921.5</v>
      </c>
      <c r="T684" s="420">
        <v>5</v>
      </c>
      <c r="U684" s="451">
        <f>909254.86*5</f>
        <v>4546274.3</v>
      </c>
      <c r="V684" s="677">
        <v>4682379.78</v>
      </c>
      <c r="W684" s="427">
        <v>176807.56</v>
      </c>
      <c r="X684" s="420"/>
      <c r="Y684" s="425">
        <f>70460166.75*71%</f>
        <v>50026718.390000001</v>
      </c>
      <c r="Z684" s="425">
        <f>70460166.75*29%+4557526.32</f>
        <v>24990974.68</v>
      </c>
      <c r="AA684" s="443"/>
      <c r="AB684" s="425"/>
      <c r="AC684" s="682"/>
      <c r="AD684" s="426">
        <v>2024</v>
      </c>
      <c r="AE684" s="426">
        <v>2024</v>
      </c>
      <c r="AF684" s="25"/>
      <c r="AG684" s="262"/>
    </row>
    <row r="685" spans="1:34" s="26" customFormat="1" ht="24" customHeight="1">
      <c r="A685" s="426">
        <f t="shared" si="283"/>
        <v>264</v>
      </c>
      <c r="B685" s="683" t="s">
        <v>699</v>
      </c>
      <c r="C685" s="418">
        <f t="shared" si="289"/>
        <v>75593185.989999995</v>
      </c>
      <c r="D685" s="681">
        <v>2523782.5099999998</v>
      </c>
      <c r="E685" s="427"/>
      <c r="F685" s="427"/>
      <c r="G685" s="617">
        <v>3286206.3</v>
      </c>
      <c r="H685" s="427">
        <v>3169826.88</v>
      </c>
      <c r="I685" s="676">
        <v>13109704.24</v>
      </c>
      <c r="J685" s="427"/>
      <c r="K685" s="424"/>
      <c r="L685" s="617">
        <v>4845197.2300000004</v>
      </c>
      <c r="M685" s="578"/>
      <c r="N685" s="578"/>
      <c r="O685" s="578"/>
      <c r="P685" s="617"/>
      <c r="Q685" s="617">
        <v>3385378.88</v>
      </c>
      <c r="R685" s="681">
        <v>28333198.960000001</v>
      </c>
      <c r="S685" s="681">
        <v>6403073.2000000002</v>
      </c>
      <c r="T685" s="420">
        <v>5</v>
      </c>
      <c r="U685" s="451">
        <v>5734403.3700000001</v>
      </c>
      <c r="V685" s="677">
        <v>4624708.24</v>
      </c>
      <c r="W685" s="427">
        <v>177706.18</v>
      </c>
      <c r="X685" s="420"/>
      <c r="Y685" s="425">
        <f>69844592.88*71%</f>
        <v>49589660.939999998</v>
      </c>
      <c r="Z685" s="425">
        <f>69844592.88*29%+5748593.11</f>
        <v>26003525.050000001</v>
      </c>
      <c r="AA685" s="443"/>
      <c r="AB685" s="425"/>
      <c r="AC685" s="682"/>
      <c r="AD685" s="426">
        <v>2024</v>
      </c>
      <c r="AE685" s="426">
        <v>2024</v>
      </c>
      <c r="AF685" s="25"/>
      <c r="AG685" s="262"/>
    </row>
    <row r="686" spans="1:34" s="26" customFormat="1" ht="24" customHeight="1">
      <c r="A686" s="231">
        <f t="shared" si="283"/>
        <v>265</v>
      </c>
      <c r="B686" s="471" t="s">
        <v>916</v>
      </c>
      <c r="C686" s="453">
        <f t="shared" ref="C686" si="290">D686+F686+G686+H686+I686+K686+L686+M686+O686+P686+Q686+R686+S686+W686+V686+X686</f>
        <v>41472731.909999996</v>
      </c>
      <c r="D686" s="463"/>
      <c r="E686" s="458"/>
      <c r="F686" s="458"/>
      <c r="G686" s="464">
        <v>3406414.62</v>
      </c>
      <c r="H686" s="458">
        <v>3116839.57</v>
      </c>
      <c r="I686" s="456">
        <v>12890560.43</v>
      </c>
      <c r="J686" s="458"/>
      <c r="K686" s="457"/>
      <c r="L686" s="465">
        <v>5520173.3799999999</v>
      </c>
      <c r="M686" s="466"/>
      <c r="N686" s="466"/>
      <c r="O686" s="466"/>
      <c r="P686" s="464">
        <v>14090521.810000001</v>
      </c>
      <c r="Q686" s="464"/>
      <c r="R686" s="463"/>
      <c r="S686" s="463"/>
      <c r="T686" s="467"/>
      <c r="U686" s="468"/>
      <c r="V686" s="459">
        <f>704526.09+1246699.4</f>
        <v>1951225.49</v>
      </c>
      <c r="W686" s="458">
        <f>122986.79+374009.82</f>
        <v>496996.61</v>
      </c>
      <c r="X686" s="467"/>
      <c r="Y686" s="461">
        <f>(14918034.69*69%)+(26554697.22*59%)</f>
        <v>25960715.300000001</v>
      </c>
      <c r="Z686" s="461">
        <f>(14918034.69*31%)+(26554697.22*41%)</f>
        <v>15512016.609999999</v>
      </c>
      <c r="AA686" s="469"/>
      <c r="AB686" s="461"/>
      <c r="AC686" s="470"/>
      <c r="AD686" s="231">
        <v>2024</v>
      </c>
      <c r="AE686" s="231">
        <v>2026</v>
      </c>
      <c r="AF686" s="91"/>
      <c r="AG686" s="262"/>
      <c r="AH686" s="262"/>
    </row>
    <row r="687" spans="1:34" s="26" customFormat="1" ht="24" customHeight="1">
      <c r="A687" s="231">
        <f t="shared" si="283"/>
        <v>266</v>
      </c>
      <c r="B687" s="263" t="s">
        <v>917</v>
      </c>
      <c r="C687" s="232">
        <f t="shared" ref="C687" si="291">D687+F687+G687+H687+I687+K687+L687+M687+O687+P687+Q687+R687+S687+W687+V687+X687</f>
        <v>13545084.109999999</v>
      </c>
      <c r="D687" s="228"/>
      <c r="E687" s="265"/>
      <c r="F687" s="228"/>
      <c r="G687" s="182">
        <v>528155.61</v>
      </c>
      <c r="H687" s="234">
        <v>1138074.71</v>
      </c>
      <c r="I687" s="234">
        <v>3855544.39</v>
      </c>
      <c r="J687" s="229"/>
      <c r="K687" s="228"/>
      <c r="L687" s="228">
        <v>1278989.3500000001</v>
      </c>
      <c r="M687" s="229"/>
      <c r="N687" s="266"/>
      <c r="O687" s="267"/>
      <c r="P687" s="236"/>
      <c r="Q687" s="228"/>
      <c r="R687" s="230">
        <v>5917624.7699999996</v>
      </c>
      <c r="S687" s="234"/>
      <c r="T687" s="234"/>
      <c r="U687" s="234"/>
      <c r="V687" s="268">
        <v>635919.44999999995</v>
      </c>
      <c r="W687" s="252">
        <v>190775.83</v>
      </c>
      <c r="X687" s="229"/>
      <c r="Y687" s="230">
        <f>C687*59%</f>
        <v>7991599.6200000001</v>
      </c>
      <c r="Z687" s="230">
        <f>C687*41%</f>
        <v>5553484.4900000002</v>
      </c>
      <c r="AA687" s="229"/>
      <c r="AB687" s="230"/>
      <c r="AC687" s="231"/>
      <c r="AD687" s="231">
        <v>2024</v>
      </c>
      <c r="AE687" s="231">
        <v>2026</v>
      </c>
      <c r="AF687" s="91"/>
      <c r="AG687" s="262"/>
      <c r="AH687" s="262"/>
    </row>
    <row r="688" spans="1:34" s="26" customFormat="1" ht="24" customHeight="1">
      <c r="A688" s="231">
        <f t="shared" si="283"/>
        <v>267</v>
      </c>
      <c r="B688" s="263" t="s">
        <v>891</v>
      </c>
      <c r="C688" s="232">
        <f t="shared" si="289"/>
        <v>17595165.100000001</v>
      </c>
      <c r="D688" s="256"/>
      <c r="E688" s="238"/>
      <c r="F688" s="238"/>
      <c r="G688" s="207">
        <v>527949.11</v>
      </c>
      <c r="H688" s="238">
        <v>1137629.74</v>
      </c>
      <c r="I688" s="255">
        <v>3854036.94</v>
      </c>
      <c r="J688" s="238"/>
      <c r="K688" s="253"/>
      <c r="L688" s="269">
        <v>871542.1</v>
      </c>
      <c r="M688" s="182"/>
      <c r="N688" s="182"/>
      <c r="O688" s="182"/>
      <c r="P688" s="207"/>
      <c r="Q688" s="207"/>
      <c r="R688" s="256">
        <v>9529780.2699999996</v>
      </c>
      <c r="S688" s="256"/>
      <c r="T688" s="229">
        <v>2</v>
      </c>
      <c r="U688" s="240">
        <f>487614.4*2</f>
        <v>975228.8</v>
      </c>
      <c r="V688" s="258">
        <v>615323.46</v>
      </c>
      <c r="W688" s="238">
        <v>83674.679999999993</v>
      </c>
      <c r="X688" s="229"/>
      <c r="Y688" s="230">
        <f>16613792.36*71%</f>
        <v>11795792.58</v>
      </c>
      <c r="Z688" s="230">
        <f>16613792.36*29%+981372.74</f>
        <v>5799372.5199999996</v>
      </c>
      <c r="AA688" s="244"/>
      <c r="AB688" s="230"/>
      <c r="AC688" s="264"/>
      <c r="AD688" s="231">
        <v>2024</v>
      </c>
      <c r="AE688" s="231">
        <v>2026</v>
      </c>
      <c r="AF688" s="25"/>
      <c r="AG688" s="262"/>
    </row>
    <row r="689" spans="1:34" s="26" customFormat="1" ht="24" customHeight="1">
      <c r="A689" s="231">
        <f t="shared" si="283"/>
        <v>268</v>
      </c>
      <c r="B689" s="263" t="s">
        <v>918</v>
      </c>
      <c r="C689" s="232">
        <f t="shared" si="289"/>
        <v>32577914.07</v>
      </c>
      <c r="D689" s="256"/>
      <c r="E689" s="238"/>
      <c r="F689" s="238"/>
      <c r="G689" s="207">
        <v>527949.11</v>
      </c>
      <c r="H689" s="238">
        <v>1137629.74</v>
      </c>
      <c r="I689" s="255">
        <v>3854036.94</v>
      </c>
      <c r="J689" s="238"/>
      <c r="K689" s="253"/>
      <c r="L689" s="269">
        <v>871542.1</v>
      </c>
      <c r="M689" s="182"/>
      <c r="N689" s="182"/>
      <c r="O689" s="182"/>
      <c r="P689" s="207">
        <v>14133999.880000001</v>
      </c>
      <c r="Q689" s="207"/>
      <c r="R689" s="256">
        <v>9529780.2699999996</v>
      </c>
      <c r="S689" s="256"/>
      <c r="T689" s="229">
        <v>2</v>
      </c>
      <c r="U689" s="240">
        <f>513950.94*2</f>
        <v>1027901.88</v>
      </c>
      <c r="V689" s="258">
        <v>1322023.45</v>
      </c>
      <c r="W689" s="238">
        <v>173050.7</v>
      </c>
      <c r="X689" s="229"/>
      <c r="Y689" s="230">
        <f>31543536.41*71%</f>
        <v>22395910.850000001</v>
      </c>
      <c r="Z689" s="230">
        <f>31543536.41*29%+1034377.66</f>
        <v>10182003.220000001</v>
      </c>
      <c r="AA689" s="244"/>
      <c r="AB689" s="230"/>
      <c r="AC689" s="264"/>
      <c r="AD689" s="231">
        <v>2024</v>
      </c>
      <c r="AE689" s="231">
        <v>2026</v>
      </c>
      <c r="AF689" s="25"/>
      <c r="AG689" s="262"/>
    </row>
    <row r="690" spans="1:34" s="26" customFormat="1" ht="24" customHeight="1">
      <c r="A690" s="231">
        <f t="shared" si="283"/>
        <v>269</v>
      </c>
      <c r="B690" s="263" t="s">
        <v>919</v>
      </c>
      <c r="C690" s="232">
        <f t="shared" ref="C690:C692" si="292">D690+F690+G690+H690+I690+K690+L690+M690+O690+P690+Q690+R690+S690+W690+V690+X690</f>
        <v>9737498.7899999991</v>
      </c>
      <c r="D690" s="256"/>
      <c r="E690" s="238"/>
      <c r="F690" s="238"/>
      <c r="G690" s="207">
        <v>395101.42</v>
      </c>
      <c r="H690" s="238">
        <v>851368.28</v>
      </c>
      <c r="I690" s="255">
        <v>2884246.68</v>
      </c>
      <c r="J690" s="238"/>
      <c r="K690" s="253"/>
      <c r="L690" s="269">
        <v>652236.19999999995</v>
      </c>
      <c r="M690" s="182"/>
      <c r="N690" s="182"/>
      <c r="O690" s="182"/>
      <c r="P690" s="207">
        <v>4435544.82</v>
      </c>
      <c r="Q690" s="207"/>
      <c r="R690" s="256"/>
      <c r="S690" s="256"/>
      <c r="T690" s="229"/>
      <c r="U690" s="229"/>
      <c r="V690" s="258">
        <v>460924.86</v>
      </c>
      <c r="W690" s="238">
        <v>58076.53</v>
      </c>
      <c r="X690" s="229"/>
      <c r="Y690" s="230">
        <f>C690*71%</f>
        <v>6913624.1399999997</v>
      </c>
      <c r="Z690" s="230">
        <f>C690*29%</f>
        <v>2823874.65</v>
      </c>
      <c r="AA690" s="229"/>
      <c r="AB690" s="230"/>
      <c r="AC690" s="254"/>
      <c r="AD690" s="231">
        <v>2024</v>
      </c>
      <c r="AE690" s="231">
        <v>2026</v>
      </c>
      <c r="AF690" s="25"/>
      <c r="AG690" s="262"/>
    </row>
    <row r="691" spans="1:34" s="26" customFormat="1" ht="24" customHeight="1">
      <c r="A691" s="231">
        <f t="shared" si="283"/>
        <v>270</v>
      </c>
      <c r="B691" s="263" t="s">
        <v>920</v>
      </c>
      <c r="C691" s="232">
        <f t="shared" si="292"/>
        <v>15759819.48</v>
      </c>
      <c r="D691" s="256"/>
      <c r="E691" s="238"/>
      <c r="F691" s="238"/>
      <c r="G691" s="207">
        <v>639458.56999999995</v>
      </c>
      <c r="H691" s="238">
        <v>1377911.38</v>
      </c>
      <c r="I691" s="255">
        <v>4668057.78</v>
      </c>
      <c r="J691" s="238"/>
      <c r="K691" s="253"/>
      <c r="L691" s="269">
        <v>1055622.7</v>
      </c>
      <c r="M691" s="182"/>
      <c r="N691" s="182"/>
      <c r="O691" s="182"/>
      <c r="P691" s="207">
        <v>7178782.4699999997</v>
      </c>
      <c r="Q691" s="207"/>
      <c r="R691" s="256"/>
      <c r="S691" s="256"/>
      <c r="T691" s="229"/>
      <c r="U691" s="229"/>
      <c r="V691" s="258">
        <v>745991.65</v>
      </c>
      <c r="W691" s="238">
        <v>93994.93</v>
      </c>
      <c r="X691" s="229"/>
      <c r="Y691" s="230">
        <f t="shared" ref="Y691:Y692" si="293">C691*71%</f>
        <v>11189471.83</v>
      </c>
      <c r="Z691" s="230">
        <f t="shared" ref="Z691:Z692" si="294">C691*29%</f>
        <v>4570347.6500000004</v>
      </c>
      <c r="AA691" s="229"/>
      <c r="AB691" s="230"/>
      <c r="AC691" s="254"/>
      <c r="AD691" s="231">
        <v>2024</v>
      </c>
      <c r="AE691" s="231">
        <v>2026</v>
      </c>
      <c r="AF691" s="25"/>
      <c r="AG691" s="262"/>
    </row>
    <row r="692" spans="1:34" s="26" customFormat="1" ht="24" customHeight="1">
      <c r="A692" s="231">
        <f t="shared" si="283"/>
        <v>271</v>
      </c>
      <c r="B692" s="263" t="s">
        <v>921</v>
      </c>
      <c r="C692" s="232">
        <f t="shared" si="292"/>
        <v>15759819.48</v>
      </c>
      <c r="D692" s="256"/>
      <c r="E692" s="238"/>
      <c r="F692" s="238"/>
      <c r="G692" s="207">
        <v>639458.56999999995</v>
      </c>
      <c r="H692" s="238">
        <v>1377911.38</v>
      </c>
      <c r="I692" s="255">
        <v>4668057.78</v>
      </c>
      <c r="J692" s="238"/>
      <c r="K692" s="253"/>
      <c r="L692" s="269">
        <v>1055622.7</v>
      </c>
      <c r="M692" s="182"/>
      <c r="N692" s="182"/>
      <c r="O692" s="182"/>
      <c r="P692" s="207">
        <v>7178782.4699999997</v>
      </c>
      <c r="Q692" s="207"/>
      <c r="R692" s="256"/>
      <c r="S692" s="256"/>
      <c r="T692" s="229"/>
      <c r="U692" s="229"/>
      <c r="V692" s="258">
        <v>745991.65</v>
      </c>
      <c r="W692" s="238">
        <v>93994.93</v>
      </c>
      <c r="X692" s="229"/>
      <c r="Y692" s="230">
        <f t="shared" si="293"/>
        <v>11189471.83</v>
      </c>
      <c r="Z692" s="230">
        <f t="shared" si="294"/>
        <v>4570347.6500000004</v>
      </c>
      <c r="AA692" s="229"/>
      <c r="AB692" s="230"/>
      <c r="AC692" s="254"/>
      <c r="AD692" s="231">
        <v>2024</v>
      </c>
      <c r="AE692" s="231">
        <v>2026</v>
      </c>
      <c r="AF692" s="25"/>
      <c r="AG692" s="262"/>
    </row>
    <row r="693" spans="1:34" s="26" customFormat="1" ht="24" customHeight="1">
      <c r="A693" s="231">
        <f t="shared" si="283"/>
        <v>272</v>
      </c>
      <c r="B693" s="263" t="s">
        <v>892</v>
      </c>
      <c r="C693" s="232">
        <f>D693+F693+G693+H693+I693+K693+L693+M693+O693+P693+Q693+R693+S693+W693+V693+X693+U693</f>
        <v>17595165.100000001</v>
      </c>
      <c r="D693" s="256"/>
      <c r="E693" s="238"/>
      <c r="F693" s="238"/>
      <c r="G693" s="207">
        <v>527949.11</v>
      </c>
      <c r="H693" s="238">
        <v>1137629.74</v>
      </c>
      <c r="I693" s="255">
        <v>3854036.94</v>
      </c>
      <c r="J693" s="238"/>
      <c r="K693" s="253"/>
      <c r="L693" s="269">
        <v>871542.1</v>
      </c>
      <c r="M693" s="182"/>
      <c r="N693" s="182"/>
      <c r="O693" s="182"/>
      <c r="P693" s="207"/>
      <c r="Q693" s="207"/>
      <c r="R693" s="256">
        <v>9529780.2699999996</v>
      </c>
      <c r="S693" s="256"/>
      <c r="T693" s="229">
        <v>2</v>
      </c>
      <c r="U693" s="240">
        <f>487614.4*2</f>
        <v>975228.8</v>
      </c>
      <c r="V693" s="258">
        <v>615323.46</v>
      </c>
      <c r="W693" s="238">
        <v>83674.679999999993</v>
      </c>
      <c r="X693" s="229"/>
      <c r="Y693" s="230">
        <f>16613792.36*71%</f>
        <v>11795792.58</v>
      </c>
      <c r="Z693" s="230">
        <f>16613792.36*29%+981372.74</f>
        <v>5799372.5199999996</v>
      </c>
      <c r="AA693" s="244"/>
      <c r="AB693" s="230"/>
      <c r="AC693" s="254"/>
      <c r="AD693" s="231">
        <v>2024</v>
      </c>
      <c r="AE693" s="231">
        <v>2026</v>
      </c>
      <c r="AF693" s="25"/>
      <c r="AG693" s="262"/>
    </row>
    <row r="694" spans="1:34" s="26" customFormat="1" ht="24" customHeight="1">
      <c r="A694" s="231">
        <f t="shared" si="283"/>
        <v>273</v>
      </c>
      <c r="B694" s="471" t="s">
        <v>922</v>
      </c>
      <c r="C694" s="453">
        <f t="shared" ref="C694:C695" si="295">D694+F694+G694+H694+I694+K694+L694+M694+O694+P694+Q694+R694+S694+W694+V694+X694</f>
        <v>21769348.219999999</v>
      </c>
      <c r="D694" s="463"/>
      <c r="E694" s="458"/>
      <c r="F694" s="458"/>
      <c r="G694" s="464">
        <v>639403.5</v>
      </c>
      <c r="H694" s="458">
        <v>1377792.72</v>
      </c>
      <c r="I694" s="456">
        <v>9739224.5800000001</v>
      </c>
      <c r="J694" s="458"/>
      <c r="K694" s="457"/>
      <c r="L694" s="465">
        <v>1548388.88</v>
      </c>
      <c r="M694" s="466"/>
      <c r="N694" s="466"/>
      <c r="O694" s="466"/>
      <c r="P694" s="464">
        <v>7178164.2800000003</v>
      </c>
      <c r="Q694" s="464"/>
      <c r="R694" s="463"/>
      <c r="S694" s="463"/>
      <c r="T694" s="467"/>
      <c r="U694" s="468"/>
      <c r="V694" s="459">
        <f>358908.21+665240.49</f>
        <v>1024148.7</v>
      </c>
      <c r="W694" s="458">
        <f>62653.42+199572.14</f>
        <v>262225.56</v>
      </c>
      <c r="X694" s="467"/>
      <c r="Y694" s="461">
        <f>(7599725.91*69%)+(14169622.31*59%)</f>
        <v>13603888.039999999</v>
      </c>
      <c r="Z694" s="461">
        <f>(7599725.91*31%)+(14169622.31*41%)</f>
        <v>8165460.1799999997</v>
      </c>
      <c r="AA694" s="469"/>
      <c r="AB694" s="461"/>
      <c r="AC694" s="470"/>
      <c r="AD694" s="231">
        <v>2024</v>
      </c>
      <c r="AE694" s="231">
        <v>2026</v>
      </c>
      <c r="AF694" s="91"/>
      <c r="AG694" s="262"/>
      <c r="AH694" s="262"/>
    </row>
    <row r="695" spans="1:34" s="26" customFormat="1" ht="24" customHeight="1">
      <c r="A695" s="426">
        <f t="shared" si="283"/>
        <v>274</v>
      </c>
      <c r="B695" s="683" t="s">
        <v>893</v>
      </c>
      <c r="C695" s="418">
        <f t="shared" si="295"/>
        <v>14322991.859999999</v>
      </c>
      <c r="D695" s="681"/>
      <c r="E695" s="427"/>
      <c r="F695" s="427"/>
      <c r="G695" s="617">
        <v>501104.24</v>
      </c>
      <c r="H695" s="427">
        <v>1079784.1599999999</v>
      </c>
      <c r="I695" s="676">
        <v>3658068.96</v>
      </c>
      <c r="J695" s="427"/>
      <c r="K695" s="424"/>
      <c r="L695" s="684">
        <v>1213481.3600000001</v>
      </c>
      <c r="M695" s="578"/>
      <c r="N695" s="578"/>
      <c r="O695" s="578"/>
      <c r="P695" s="617"/>
      <c r="Q695" s="617"/>
      <c r="R695" s="681">
        <f>5614532.56+1506879.92</f>
        <v>7121412.4800000004</v>
      </c>
      <c r="S695" s="681"/>
      <c r="T695" s="420"/>
      <c r="U695" s="420"/>
      <c r="V695" s="677">
        <f>280726.63+322621.94</f>
        <v>603348.56999999995</v>
      </c>
      <c r="W695" s="427">
        <f>49005.52+96786.57</f>
        <v>145792.09</v>
      </c>
      <c r="X695" s="420"/>
      <c r="Y695" s="425">
        <f>(5944264.71*69%)+(6871847.23*59%)</f>
        <v>8155932.5199999996</v>
      </c>
      <c r="Z695" s="425">
        <f>(5944264.71*31%)+(6871847.23*41%)</f>
        <v>4660179.42</v>
      </c>
      <c r="AA695" s="420"/>
      <c r="AB695" s="425">
        <f>C695-Y695-Z695</f>
        <v>1506879.92</v>
      </c>
      <c r="AC695" s="510"/>
      <c r="AD695" s="426">
        <v>2024</v>
      </c>
      <c r="AE695" s="426">
        <v>2026</v>
      </c>
      <c r="AF695" s="91"/>
      <c r="AG695" s="262"/>
      <c r="AH695" s="262"/>
    </row>
    <row r="696" spans="1:34" s="26" customFormat="1" ht="24" customHeight="1">
      <c r="A696" s="231">
        <f t="shared" si="283"/>
        <v>275</v>
      </c>
      <c r="B696" s="263" t="s">
        <v>923</v>
      </c>
      <c r="C696" s="232">
        <f>D696+F696+G696+H696+I696+K696+L696+M696+O696+P696+Q696+R696+S696+W696+V696+X696+U696</f>
        <v>1034377.66</v>
      </c>
      <c r="D696" s="256"/>
      <c r="E696" s="238"/>
      <c r="F696" s="238"/>
      <c r="G696" s="251"/>
      <c r="H696" s="238"/>
      <c r="I696" s="255"/>
      <c r="J696" s="238"/>
      <c r="K696" s="253"/>
      <c r="L696" s="269"/>
      <c r="M696" s="226"/>
      <c r="N696" s="226"/>
      <c r="O696" s="226"/>
      <c r="P696" s="251"/>
      <c r="Q696" s="251"/>
      <c r="R696" s="256"/>
      <c r="S696" s="256"/>
      <c r="T696" s="229">
        <v>2</v>
      </c>
      <c r="U696" s="240">
        <f>513950.94*2</f>
        <v>1027901.88</v>
      </c>
      <c r="V696" s="258"/>
      <c r="W696" s="238">
        <v>6475.78</v>
      </c>
      <c r="X696" s="229"/>
      <c r="Y696" s="229"/>
      <c r="Z696" s="309">
        <v>1034377.66</v>
      </c>
      <c r="AA696" s="244"/>
      <c r="AB696" s="230"/>
      <c r="AC696" s="254"/>
      <c r="AD696" s="231">
        <v>2024</v>
      </c>
      <c r="AE696" s="231">
        <v>2024</v>
      </c>
      <c r="AF696" s="25"/>
      <c r="AG696" s="262"/>
    </row>
    <row r="697" spans="1:34" s="26" customFormat="1" ht="24" customHeight="1">
      <c r="A697" s="231">
        <f t="shared" si="283"/>
        <v>276</v>
      </c>
      <c r="B697" s="471" t="s">
        <v>820</v>
      </c>
      <c r="C697" s="453">
        <f t="shared" ref="C697:C704" si="296">D697+F697+G697+H697+I697+K697+L697+M697+O697+P697+Q697+R697+S697+W697+V697+X697</f>
        <v>17269461.510000002</v>
      </c>
      <c r="D697" s="463"/>
      <c r="E697" s="458"/>
      <c r="F697" s="458"/>
      <c r="G697" s="464"/>
      <c r="H697" s="458"/>
      <c r="I697" s="456"/>
      <c r="J697" s="458"/>
      <c r="K697" s="457"/>
      <c r="L697" s="465"/>
      <c r="M697" s="466"/>
      <c r="N697" s="466"/>
      <c r="O697" s="466"/>
      <c r="P697" s="464">
        <v>16311513.49</v>
      </c>
      <c r="Q697" s="464"/>
      <c r="R697" s="463"/>
      <c r="S697" s="463"/>
      <c r="T697" s="467"/>
      <c r="U697" s="467"/>
      <c r="V697" s="459">
        <v>815575.67</v>
      </c>
      <c r="W697" s="458">
        <v>142372.35</v>
      </c>
      <c r="X697" s="467"/>
      <c r="Y697" s="461">
        <f t="shared" ref="Y697" si="297">C697*69%</f>
        <v>11915928.439999999</v>
      </c>
      <c r="Z697" s="461">
        <f t="shared" ref="Z697" si="298">C697*31%</f>
        <v>5353533.07</v>
      </c>
      <c r="AA697" s="467"/>
      <c r="AB697" s="461"/>
      <c r="AC697" s="454"/>
      <c r="AD697" s="231">
        <v>2024</v>
      </c>
      <c r="AE697" s="231">
        <v>2026</v>
      </c>
      <c r="AF697" s="91"/>
      <c r="AG697" s="262"/>
    </row>
    <row r="698" spans="1:34" s="26" customFormat="1" ht="24" customHeight="1">
      <c r="A698" s="231">
        <f t="shared" si="283"/>
        <v>277</v>
      </c>
      <c r="B698" s="471" t="s">
        <v>821</v>
      </c>
      <c r="C698" s="453">
        <f t="shared" si="296"/>
        <v>33225301.699999999</v>
      </c>
      <c r="D698" s="463"/>
      <c r="E698" s="458"/>
      <c r="F698" s="458"/>
      <c r="G698" s="464">
        <v>1791969.27</v>
      </c>
      <c r="H698" s="458">
        <v>4100633.16</v>
      </c>
      <c r="I698" s="456">
        <v>9422791.5600000005</v>
      </c>
      <c r="J698" s="458"/>
      <c r="K698" s="457"/>
      <c r="L698" s="465">
        <v>4355531.3099999996</v>
      </c>
      <c r="M698" s="466"/>
      <c r="N698" s="466"/>
      <c r="O698" s="466"/>
      <c r="P698" s="464">
        <v>11594821.68</v>
      </c>
      <c r="Q698" s="464"/>
      <c r="R698" s="463"/>
      <c r="S698" s="463"/>
      <c r="T698" s="467"/>
      <c r="U698" s="467"/>
      <c r="V698" s="459">
        <f>579741.08+983546.27</f>
        <v>1563287.35</v>
      </c>
      <c r="W698" s="458">
        <f>101203.49+295063.88</f>
        <v>396267.37</v>
      </c>
      <c r="X698" s="467"/>
      <c r="Y698" s="461">
        <f>(12275766.25*69%)+(20949535.45*59%)</f>
        <v>20830504.629999999</v>
      </c>
      <c r="Z698" s="461">
        <f>(12275766.25*31%)+(20949535.45*41%)</f>
        <v>12394797.07</v>
      </c>
      <c r="AA698" s="467"/>
      <c r="AB698" s="461"/>
      <c r="AC698" s="454"/>
      <c r="AD698" s="231">
        <v>2024</v>
      </c>
      <c r="AE698" s="231">
        <v>2026</v>
      </c>
      <c r="AF698" s="91"/>
      <c r="AG698" s="262"/>
      <c r="AH698" s="262"/>
    </row>
    <row r="699" spans="1:34" s="26" customFormat="1" ht="24" customHeight="1">
      <c r="A699" s="231">
        <f t="shared" si="283"/>
        <v>278</v>
      </c>
      <c r="B699" s="471" t="s">
        <v>822</v>
      </c>
      <c r="C699" s="453">
        <f t="shared" si="296"/>
        <v>33941177.890000001</v>
      </c>
      <c r="D699" s="463"/>
      <c r="E699" s="458"/>
      <c r="F699" s="458"/>
      <c r="G699" s="464">
        <v>1830579.25</v>
      </c>
      <c r="H699" s="458">
        <v>4188985.88</v>
      </c>
      <c r="I699" s="456">
        <v>9625816.1199999992</v>
      </c>
      <c r="J699" s="458"/>
      <c r="K699" s="457"/>
      <c r="L699" s="465">
        <v>4449376.09</v>
      </c>
      <c r="M699" s="466"/>
      <c r="N699" s="466"/>
      <c r="O699" s="466"/>
      <c r="P699" s="464">
        <v>11844645.050000001</v>
      </c>
      <c r="Q699" s="464"/>
      <c r="R699" s="463"/>
      <c r="S699" s="463"/>
      <c r="T699" s="467"/>
      <c r="U699" s="468"/>
      <c r="V699" s="459">
        <f>592232.25+1004737.86</f>
        <v>1596970.11</v>
      </c>
      <c r="W699" s="458">
        <f>103384.03+301421.36</f>
        <v>404805.39</v>
      </c>
      <c r="X699" s="467"/>
      <c r="Y699" s="461">
        <f>(12540261.33*69%)+(21400916.56*59%)</f>
        <v>21279321.09</v>
      </c>
      <c r="Z699" s="461">
        <f>(12540261.33*31%)+(21400916.56*41%)</f>
        <v>12661856.800000001</v>
      </c>
      <c r="AA699" s="469"/>
      <c r="AB699" s="461"/>
      <c r="AC699" s="454"/>
      <c r="AD699" s="231">
        <v>2024</v>
      </c>
      <c r="AE699" s="231">
        <v>2026</v>
      </c>
      <c r="AF699" s="91"/>
      <c r="AG699" s="262"/>
      <c r="AH699" s="262"/>
    </row>
    <row r="700" spans="1:34" s="26" customFormat="1" ht="24" customHeight="1">
      <c r="A700" s="231">
        <f t="shared" si="283"/>
        <v>279</v>
      </c>
      <c r="B700" s="471" t="s">
        <v>823</v>
      </c>
      <c r="C700" s="453">
        <f t="shared" si="296"/>
        <v>34206166.5</v>
      </c>
      <c r="D700" s="463"/>
      <c r="E700" s="458"/>
      <c r="F700" s="458"/>
      <c r="G700" s="464">
        <v>1844871.11</v>
      </c>
      <c r="H700" s="458">
        <v>4221690.5</v>
      </c>
      <c r="I700" s="456">
        <v>9700967.6600000001</v>
      </c>
      <c r="J700" s="458"/>
      <c r="K700" s="457"/>
      <c r="L700" s="465">
        <v>4484113.66</v>
      </c>
      <c r="M700" s="466"/>
      <c r="N700" s="466"/>
      <c r="O700" s="466"/>
      <c r="P700" s="464">
        <v>11937119.630000001</v>
      </c>
      <c r="Q700" s="464"/>
      <c r="R700" s="463"/>
      <c r="S700" s="463"/>
      <c r="T700" s="467"/>
      <c r="U700" s="468"/>
      <c r="V700" s="459">
        <f>596855.98+1012582.15</f>
        <v>1609438.13</v>
      </c>
      <c r="W700" s="458">
        <f>104191.17+303774.64</f>
        <v>407965.81</v>
      </c>
      <c r="X700" s="467"/>
      <c r="Y700" s="461">
        <f>(12638166.78*69%)+(21567999.72*59%)</f>
        <v>21445454.91</v>
      </c>
      <c r="Z700" s="461">
        <f>(12638166.78*31%)+(21567999.72*41%)</f>
        <v>12760711.59</v>
      </c>
      <c r="AA700" s="469"/>
      <c r="AB700" s="461"/>
      <c r="AC700" s="454"/>
      <c r="AD700" s="231">
        <v>2024</v>
      </c>
      <c r="AE700" s="231">
        <v>2026</v>
      </c>
      <c r="AF700" s="91"/>
      <c r="AG700" s="262"/>
      <c r="AH700" s="262"/>
    </row>
    <row r="701" spans="1:34" s="26" customFormat="1" ht="24" customHeight="1">
      <c r="A701" s="231">
        <f t="shared" si="283"/>
        <v>280</v>
      </c>
      <c r="B701" s="471" t="s">
        <v>824</v>
      </c>
      <c r="C701" s="453">
        <f t="shared" si="296"/>
        <v>33089628.539999999</v>
      </c>
      <c r="D701" s="472"/>
      <c r="E701" s="467"/>
      <c r="F701" s="467"/>
      <c r="G701" s="466">
        <v>1784651.89</v>
      </c>
      <c r="H701" s="473">
        <v>4083888.52</v>
      </c>
      <c r="I701" s="473">
        <v>9384314.2599999998</v>
      </c>
      <c r="J701" s="467"/>
      <c r="K701" s="472"/>
      <c r="L701" s="466">
        <v>4337745.8099999996</v>
      </c>
      <c r="M701" s="474"/>
      <c r="N701" s="474"/>
      <c r="O701" s="474"/>
      <c r="P701" s="472">
        <v>11547475.050000001</v>
      </c>
      <c r="Q701" s="466"/>
      <c r="R701" s="475"/>
      <c r="S701" s="472"/>
      <c r="T701" s="472"/>
      <c r="U701" s="472"/>
      <c r="V701" s="475">
        <f>577373.75+979530.02</f>
        <v>1556903.77</v>
      </c>
      <c r="W701" s="461">
        <f>100790.23+293859.01</f>
        <v>394649.24</v>
      </c>
      <c r="X701" s="467"/>
      <c r="Y701" s="461">
        <f>(12225639.03*69%)+(20863989.51*59%)</f>
        <v>20745444.739999998</v>
      </c>
      <c r="Z701" s="461">
        <f>(12225639.03*31%)+(20863989.51*41%)</f>
        <v>12344183.800000001</v>
      </c>
      <c r="AA701" s="467"/>
      <c r="AB701" s="461"/>
      <c r="AC701" s="476"/>
      <c r="AD701" s="231">
        <v>2024</v>
      </c>
      <c r="AE701" s="231">
        <v>2026</v>
      </c>
      <c r="AF701" s="25"/>
      <c r="AG701" s="262"/>
      <c r="AH701" s="262"/>
    </row>
    <row r="702" spans="1:34" s="26" customFormat="1" ht="24" customHeight="1">
      <c r="A702" s="231">
        <f t="shared" si="283"/>
        <v>281</v>
      </c>
      <c r="B702" s="471" t="s">
        <v>825</v>
      </c>
      <c r="C702" s="453">
        <f t="shared" si="296"/>
        <v>19162639.460000001</v>
      </c>
      <c r="D702" s="472"/>
      <c r="E702" s="467"/>
      <c r="F702" s="467"/>
      <c r="G702" s="466">
        <v>707038.81</v>
      </c>
      <c r="H702" s="473">
        <v>1523533.92</v>
      </c>
      <c r="I702" s="473">
        <v>5161394.6100000003</v>
      </c>
      <c r="J702" s="467"/>
      <c r="K702" s="472"/>
      <c r="L702" s="466">
        <v>1712175.53</v>
      </c>
      <c r="M702" s="474"/>
      <c r="N702" s="474"/>
      <c r="O702" s="474"/>
      <c r="P702" s="472">
        <v>8941601.9000000004</v>
      </c>
      <c r="Q702" s="466"/>
      <c r="R702" s="475"/>
      <c r="S702" s="472"/>
      <c r="T702" s="472"/>
      <c r="U702" s="472"/>
      <c r="V702" s="475">
        <f>447080.1+455207.15</f>
        <v>902287.25</v>
      </c>
      <c r="W702" s="461">
        <f>78045.3+136562.14</f>
        <v>214607.44</v>
      </c>
      <c r="X702" s="467"/>
      <c r="Y702" s="461">
        <f>(9466727.3*69%)+(9695912.16*59%)</f>
        <v>12252630.01</v>
      </c>
      <c r="Z702" s="461">
        <f>(9466727.3*31%)+(9695912.16*41%)</f>
        <v>6910009.4500000002</v>
      </c>
      <c r="AA702" s="467"/>
      <c r="AB702" s="461"/>
      <c r="AC702" s="476"/>
      <c r="AD702" s="231">
        <v>2024</v>
      </c>
      <c r="AE702" s="231">
        <v>2026</v>
      </c>
      <c r="AF702" s="25"/>
      <c r="AG702" s="262"/>
      <c r="AH702" s="262"/>
    </row>
    <row r="703" spans="1:34" s="26" customFormat="1" ht="24" customHeight="1">
      <c r="A703" s="231">
        <f t="shared" si="283"/>
        <v>282</v>
      </c>
      <c r="B703" s="471" t="s">
        <v>826</v>
      </c>
      <c r="C703" s="453">
        <f t="shared" si="296"/>
        <v>9459538.6199999992</v>
      </c>
      <c r="D703" s="472"/>
      <c r="E703" s="467"/>
      <c r="F703" s="467"/>
      <c r="G703" s="466"/>
      <c r="H703" s="473"/>
      <c r="I703" s="473"/>
      <c r="J703" s="467"/>
      <c r="K703" s="472"/>
      <c r="L703" s="466"/>
      <c r="M703" s="474"/>
      <c r="N703" s="474"/>
      <c r="O703" s="474"/>
      <c r="P703" s="472">
        <v>8934812</v>
      </c>
      <c r="Q703" s="466"/>
      <c r="R703" s="475"/>
      <c r="S703" s="472"/>
      <c r="T703" s="472"/>
      <c r="U703" s="472"/>
      <c r="V703" s="475">
        <v>446740.6</v>
      </c>
      <c r="W703" s="461">
        <v>77986.02</v>
      </c>
      <c r="X703" s="467"/>
      <c r="Y703" s="461">
        <f t="shared" ref="Y703:Y704" si="299">C703*69%</f>
        <v>6527081.6500000004</v>
      </c>
      <c r="Z703" s="461">
        <f t="shared" ref="Z703:Z704" si="300">C703*31%</f>
        <v>2932456.97</v>
      </c>
      <c r="AA703" s="467"/>
      <c r="AB703" s="461"/>
      <c r="AC703" s="476"/>
      <c r="AD703" s="231">
        <v>2024</v>
      </c>
      <c r="AE703" s="231">
        <v>2026</v>
      </c>
      <c r="AF703" s="25"/>
      <c r="AG703" s="262"/>
    </row>
    <row r="704" spans="1:34" s="26" customFormat="1" ht="24" customHeight="1">
      <c r="A704" s="231">
        <f t="shared" si="283"/>
        <v>283</v>
      </c>
      <c r="B704" s="471" t="s">
        <v>827</v>
      </c>
      <c r="C704" s="453">
        <f t="shared" si="296"/>
        <v>19010495.350000001</v>
      </c>
      <c r="D704" s="472"/>
      <c r="E704" s="467"/>
      <c r="F704" s="467"/>
      <c r="G704" s="466">
        <v>703521.44</v>
      </c>
      <c r="H704" s="473">
        <v>1515954.67</v>
      </c>
      <c r="I704" s="473">
        <v>5135717.78</v>
      </c>
      <c r="J704" s="467"/>
      <c r="K704" s="472"/>
      <c r="L704" s="466">
        <v>1703657.82</v>
      </c>
      <c r="M704" s="474"/>
      <c r="N704" s="474"/>
      <c r="O704" s="474"/>
      <c r="P704" s="472">
        <v>8897119.3499999996</v>
      </c>
      <c r="Q704" s="466"/>
      <c r="R704" s="475"/>
      <c r="S704" s="472"/>
      <c r="T704" s="472"/>
      <c r="U704" s="472"/>
      <c r="V704" s="475">
        <v>897798.55</v>
      </c>
      <c r="W704" s="461">
        <v>156725.74</v>
      </c>
      <c r="X704" s="467"/>
      <c r="Y704" s="461">
        <f t="shared" si="299"/>
        <v>13117241.789999999</v>
      </c>
      <c r="Z704" s="461">
        <f t="shared" si="300"/>
        <v>5893253.5599999996</v>
      </c>
      <c r="AA704" s="467"/>
      <c r="AB704" s="461"/>
      <c r="AC704" s="476"/>
      <c r="AD704" s="231">
        <v>2024</v>
      </c>
      <c r="AE704" s="231">
        <v>2026</v>
      </c>
      <c r="AF704" s="25"/>
      <c r="AG704" s="262"/>
    </row>
    <row r="705" spans="1:33" s="148" customFormat="1" ht="24" customHeight="1">
      <c r="A705" s="928" t="s">
        <v>180</v>
      </c>
      <c r="B705" s="929"/>
      <c r="C705" s="16">
        <f t="shared" ref="C705:AC705" si="301">SUM(C658:C704)</f>
        <v>1326416067.7</v>
      </c>
      <c r="D705" s="16">
        <f t="shared" si="301"/>
        <v>14280768.550000001</v>
      </c>
      <c r="E705" s="16">
        <f t="shared" si="301"/>
        <v>0</v>
      </c>
      <c r="F705" s="16">
        <f t="shared" si="301"/>
        <v>0</v>
      </c>
      <c r="G705" s="16">
        <f t="shared" si="301"/>
        <v>33169437.039999999</v>
      </c>
      <c r="H705" s="16">
        <f t="shared" si="301"/>
        <v>51135025.43</v>
      </c>
      <c r="I705" s="16">
        <f t="shared" si="301"/>
        <v>249741146.28999999</v>
      </c>
      <c r="J705" s="16">
        <f t="shared" si="301"/>
        <v>0</v>
      </c>
      <c r="K705" s="16">
        <f t="shared" si="301"/>
        <v>0</v>
      </c>
      <c r="L705" s="16">
        <f t="shared" si="301"/>
        <v>64013291.700000003</v>
      </c>
      <c r="M705" s="16">
        <f t="shared" si="301"/>
        <v>0</v>
      </c>
      <c r="N705" s="16">
        <f t="shared" si="301"/>
        <v>0</v>
      </c>
      <c r="O705" s="16">
        <f t="shared" si="301"/>
        <v>0</v>
      </c>
      <c r="P705" s="16">
        <f t="shared" si="301"/>
        <v>355892711.74000001</v>
      </c>
      <c r="Q705" s="16">
        <f t="shared" si="301"/>
        <v>23074784.84</v>
      </c>
      <c r="R705" s="16">
        <f t="shared" si="301"/>
        <v>374294380.45999998</v>
      </c>
      <c r="S705" s="16">
        <f t="shared" si="301"/>
        <v>40755476.810000002</v>
      </c>
      <c r="T705" s="396">
        <f t="shared" si="301"/>
        <v>44</v>
      </c>
      <c r="U705" s="16">
        <f t="shared" si="301"/>
        <v>35580496.399999999</v>
      </c>
      <c r="V705" s="16">
        <f t="shared" si="301"/>
        <v>74241702.340000004</v>
      </c>
      <c r="W705" s="16">
        <f t="shared" si="301"/>
        <v>10236846.1</v>
      </c>
      <c r="X705" s="16">
        <f t="shared" si="301"/>
        <v>0</v>
      </c>
      <c r="Y705" s="16">
        <f t="shared" si="301"/>
        <v>784150455.59000003</v>
      </c>
      <c r="Z705" s="16">
        <f t="shared" si="301"/>
        <v>386058823.98000002</v>
      </c>
      <c r="AA705" s="16">
        <f t="shared" si="301"/>
        <v>0</v>
      </c>
      <c r="AB705" s="16">
        <f t="shared" si="301"/>
        <v>156206788.13</v>
      </c>
      <c r="AC705" s="16">
        <f t="shared" si="301"/>
        <v>0</v>
      </c>
      <c r="AD705" s="798" t="s">
        <v>29</v>
      </c>
      <c r="AE705" s="798" t="s">
        <v>29</v>
      </c>
      <c r="AF705" s="146"/>
      <c r="AG705" s="147"/>
    </row>
    <row r="706" spans="1:33" ht="24" customHeight="1">
      <c r="A706" s="888" t="s">
        <v>362</v>
      </c>
      <c r="B706" s="888"/>
      <c r="C706" s="888"/>
      <c r="D706" s="888"/>
      <c r="E706" s="888"/>
      <c r="F706" s="888"/>
      <c r="G706" s="888"/>
      <c r="H706" s="888"/>
      <c r="I706" s="888"/>
      <c r="J706" s="888"/>
      <c r="K706" s="888"/>
      <c r="L706" s="888"/>
      <c r="M706" s="888"/>
      <c r="N706" s="888"/>
      <c r="O706" s="888"/>
      <c r="P706" s="888"/>
      <c r="Q706" s="888"/>
      <c r="R706" s="888"/>
      <c r="S706" s="888"/>
      <c r="T706" s="889"/>
      <c r="U706" s="889"/>
      <c r="V706" s="888"/>
      <c r="W706" s="888"/>
      <c r="X706" s="888"/>
      <c r="Y706" s="888"/>
      <c r="Z706" s="888"/>
      <c r="AA706" s="888"/>
      <c r="AB706" s="888"/>
      <c r="AC706" s="888"/>
      <c r="AD706" s="888"/>
      <c r="AE706" s="888"/>
      <c r="AF706" s="808"/>
      <c r="AG706" s="806"/>
    </row>
    <row r="707" spans="1:33" ht="24" customHeight="1">
      <c r="A707" s="476">
        <f>A704+1</f>
        <v>284</v>
      </c>
      <c r="B707" s="477" t="s">
        <v>306</v>
      </c>
      <c r="C707" s="453">
        <f>D707+F707+G707+H707+I707+K707+L707+M707+O707+P707+Q707+R707+S707+W707+V707+X707</f>
        <v>14446857.779999999</v>
      </c>
      <c r="D707" s="472"/>
      <c r="E707" s="472"/>
      <c r="F707" s="472"/>
      <c r="G707" s="466"/>
      <c r="H707" s="473"/>
      <c r="I707" s="473"/>
      <c r="J707" s="467"/>
      <c r="K707" s="472"/>
      <c r="L707" s="466"/>
      <c r="M707" s="474"/>
      <c r="N707" s="474"/>
      <c r="O707" s="474"/>
      <c r="P707" s="472">
        <f>ROUND(3616.73*3727.29,2)</f>
        <v>13480601.560000001</v>
      </c>
      <c r="Q707" s="472"/>
      <c r="R707" s="467"/>
      <c r="S707" s="473"/>
      <c r="T707" s="473"/>
      <c r="U707" s="473"/>
      <c r="V707" s="475">
        <v>764047.2</v>
      </c>
      <c r="W707" s="461">
        <f>ROUND((D707+F707+G707+H707+I707+K707+L707+M707+O707+P707+Q707+R707+S707)*1.5%,2)</f>
        <v>202209.02</v>
      </c>
      <c r="X707" s="467"/>
      <c r="Y707" s="467"/>
      <c r="Z707" s="467"/>
      <c r="AA707" s="467"/>
      <c r="AB707" s="461">
        <f>C707</f>
        <v>14446857.779999999</v>
      </c>
      <c r="AC707" s="476"/>
      <c r="AD707" s="476">
        <v>2024</v>
      </c>
      <c r="AE707" s="476">
        <v>2024</v>
      </c>
      <c r="AF707" s="808"/>
      <c r="AG707" s="806"/>
    </row>
    <row r="708" spans="1:33" s="26" customFormat="1" ht="24" customHeight="1">
      <c r="A708" s="18">
        <f>A707+1</f>
        <v>285</v>
      </c>
      <c r="B708" s="50" t="s">
        <v>224</v>
      </c>
      <c r="C708" s="4">
        <f>D708+F708+G708+H708+I708+K708+L708+M708+O708+P708+Q708+R708+S708+W708+V708+X708</f>
        <v>13203229.939999999</v>
      </c>
      <c r="D708" s="9"/>
      <c r="E708" s="9"/>
      <c r="F708" s="9"/>
      <c r="G708" s="12"/>
      <c r="H708" s="13"/>
      <c r="I708" s="13"/>
      <c r="J708" s="21"/>
      <c r="K708" s="9"/>
      <c r="L708" s="12"/>
      <c r="M708" s="22"/>
      <c r="N708" s="22"/>
      <c r="O708" s="22"/>
      <c r="P708" s="9">
        <f>ROUND(3291.9*3727.29,2)</f>
        <v>12269865.949999999</v>
      </c>
      <c r="Q708" s="9"/>
      <c r="R708" s="21"/>
      <c r="S708" s="13"/>
      <c r="T708" s="110"/>
      <c r="U708" s="110"/>
      <c r="V708" s="3">
        <v>749316</v>
      </c>
      <c r="W708" s="24">
        <f>P708*1.5%</f>
        <v>184047.99</v>
      </c>
      <c r="X708" s="21"/>
      <c r="Y708" s="21"/>
      <c r="Z708" s="21"/>
      <c r="AA708" s="21"/>
      <c r="AB708" s="24">
        <f>C708</f>
        <v>13203229.939999999</v>
      </c>
      <c r="AC708" s="18"/>
      <c r="AD708" s="18">
        <v>2024</v>
      </c>
      <c r="AE708" s="18">
        <v>2024</v>
      </c>
      <c r="AF708" s="25"/>
      <c r="AG708" s="91"/>
    </row>
    <row r="709" spans="1:33" s="26" customFormat="1" ht="24" customHeight="1">
      <c r="A709" s="18">
        <f t="shared" ref="A709:A714" si="302">A708+1</f>
        <v>286</v>
      </c>
      <c r="B709" s="478" t="s">
        <v>304</v>
      </c>
      <c r="C709" s="453">
        <f>D709+F709+G709+H709+I709+K709+L709+M709+O709+P709+Q709+R709+S709+W709+V709+X709</f>
        <v>12867978.880000001</v>
      </c>
      <c r="D709" s="472"/>
      <c r="E709" s="472"/>
      <c r="F709" s="472"/>
      <c r="G709" s="466"/>
      <c r="H709" s="473"/>
      <c r="I709" s="473"/>
      <c r="J709" s="467"/>
      <c r="K709" s="472"/>
      <c r="L709" s="466"/>
      <c r="M709" s="474"/>
      <c r="N709" s="474"/>
      <c r="O709" s="474"/>
      <c r="P709" s="472">
        <f>ROUND(3205.3*3727.29,2)</f>
        <v>11947082.640000001</v>
      </c>
      <c r="Q709" s="472"/>
      <c r="R709" s="467"/>
      <c r="S709" s="473"/>
      <c r="T709" s="473"/>
      <c r="U709" s="473"/>
      <c r="V709" s="475">
        <v>741690</v>
      </c>
      <c r="W709" s="461">
        <f>ROUND((D709+F709+G709+H709+I709+K709+L709+M709+O709+P709+Q709+R709+S709)*1.5%,2)</f>
        <v>179206.24</v>
      </c>
      <c r="X709" s="467"/>
      <c r="Y709" s="467"/>
      <c r="Z709" s="467"/>
      <c r="AA709" s="467"/>
      <c r="AB709" s="461">
        <f>C709</f>
        <v>12867978.880000001</v>
      </c>
      <c r="AC709" s="476"/>
      <c r="AD709" s="476">
        <v>2024</v>
      </c>
      <c r="AE709" s="476">
        <v>2024</v>
      </c>
      <c r="AF709" s="25"/>
      <c r="AG709" s="91"/>
    </row>
    <row r="710" spans="1:33" s="26" customFormat="1" ht="24" customHeight="1">
      <c r="A710" s="18">
        <f t="shared" si="302"/>
        <v>287</v>
      </c>
      <c r="B710" s="50" t="s">
        <v>1266</v>
      </c>
      <c r="C710" s="4">
        <f t="shared" ref="C710:C714" si="303">D710+F710+G710+H710+I710+K710+L710+M710+O710+P710+Q710+R710+S710+W710+V710+X710</f>
        <v>19772911.809999999</v>
      </c>
      <c r="D710" s="108"/>
      <c r="E710" s="108"/>
      <c r="F710" s="108"/>
      <c r="G710" s="109"/>
      <c r="H710" s="110"/>
      <c r="I710" s="110"/>
      <c r="J710" s="107"/>
      <c r="K710" s="108"/>
      <c r="L710" s="109"/>
      <c r="M710" s="113"/>
      <c r="N710" s="113"/>
      <c r="O710" s="113"/>
      <c r="P710" s="108">
        <v>18566114.370000001</v>
      </c>
      <c r="Q710" s="108"/>
      <c r="R710" s="107"/>
      <c r="S710" s="110"/>
      <c r="T710" s="110"/>
      <c r="U710" s="110"/>
      <c r="V710" s="116">
        <v>928305.72</v>
      </c>
      <c r="W710" s="111">
        <v>278491.71999999997</v>
      </c>
      <c r="X710" s="107"/>
      <c r="Y710" s="107"/>
      <c r="Z710" s="107"/>
      <c r="AA710" s="107"/>
      <c r="AB710" s="24">
        <f t="shared" ref="AB710:AB714" si="304">C710</f>
        <v>19772911.809999999</v>
      </c>
      <c r="AC710" s="112"/>
      <c r="AD710" s="112">
        <v>2024</v>
      </c>
      <c r="AE710" s="112">
        <v>2025</v>
      </c>
      <c r="AF710" s="25"/>
      <c r="AG710" s="91"/>
    </row>
    <row r="711" spans="1:33" s="26" customFormat="1" ht="24" customHeight="1">
      <c r="A711" s="18">
        <f t="shared" si="302"/>
        <v>288</v>
      </c>
      <c r="B711" s="310" t="s">
        <v>767</v>
      </c>
      <c r="C711" s="232">
        <f t="shared" si="303"/>
        <v>3370515.1</v>
      </c>
      <c r="D711" s="228"/>
      <c r="E711" s="228"/>
      <c r="F711" s="228"/>
      <c r="G711" s="226"/>
      <c r="H711" s="234"/>
      <c r="I711" s="234"/>
      <c r="J711" s="229"/>
      <c r="K711" s="228"/>
      <c r="L711" s="226"/>
      <c r="M711" s="227"/>
      <c r="N711" s="227"/>
      <c r="O711" s="227"/>
      <c r="P711" s="228"/>
      <c r="Q711" s="228"/>
      <c r="R711" s="229"/>
      <c r="S711" s="234"/>
      <c r="T711" s="234"/>
      <c r="U711" s="234"/>
      <c r="V711" s="236">
        <v>3370515.1</v>
      </c>
      <c r="W711" s="230"/>
      <c r="X711" s="229"/>
      <c r="Y711" s="229"/>
      <c r="Z711" s="230">
        <f>C711</f>
        <v>3370515.1</v>
      </c>
      <c r="AA711" s="229"/>
      <c r="AB711" s="230"/>
      <c r="AC711" s="231"/>
      <c r="AD711" s="231">
        <v>2024</v>
      </c>
      <c r="AE711" s="231">
        <v>2024</v>
      </c>
      <c r="AF711" s="91"/>
      <c r="AG711" s="91"/>
    </row>
    <row r="712" spans="1:33" s="26" customFormat="1" ht="24" customHeight="1">
      <c r="A712" s="18">
        <f t="shared" si="302"/>
        <v>289</v>
      </c>
      <c r="B712" s="477" t="s">
        <v>305</v>
      </c>
      <c r="C712" s="453">
        <f t="shared" si="303"/>
        <v>13219303.220000001</v>
      </c>
      <c r="D712" s="472"/>
      <c r="E712" s="472"/>
      <c r="F712" s="472"/>
      <c r="G712" s="466"/>
      <c r="H712" s="473"/>
      <c r="I712" s="473"/>
      <c r="J712" s="467"/>
      <c r="K712" s="472"/>
      <c r="L712" s="466"/>
      <c r="M712" s="474"/>
      <c r="N712" s="474"/>
      <c r="O712" s="474"/>
      <c r="P712" s="472">
        <f>ROUND(3291.3*3727.29,2)</f>
        <v>12267629.58</v>
      </c>
      <c r="Q712" s="472"/>
      <c r="R712" s="467"/>
      <c r="S712" s="473"/>
      <c r="T712" s="473"/>
      <c r="U712" s="473"/>
      <c r="V712" s="475">
        <v>767659.2</v>
      </c>
      <c r="W712" s="461">
        <f t="shared" ref="W712" si="305">ROUND((D712+F712+G712+H712+I712+K712+L712+M712+O712+P712+Q712+R712+S712)*1.5%,2)</f>
        <v>184014.44</v>
      </c>
      <c r="X712" s="467"/>
      <c r="Y712" s="467"/>
      <c r="Z712" s="467"/>
      <c r="AA712" s="467"/>
      <c r="AB712" s="461">
        <f t="shared" ref="AB712" si="306">C712</f>
        <v>13219303.220000001</v>
      </c>
      <c r="AC712" s="476"/>
      <c r="AD712" s="476">
        <v>2024</v>
      </c>
      <c r="AE712" s="476">
        <v>2024</v>
      </c>
      <c r="AF712" s="91"/>
      <c r="AG712" s="91"/>
    </row>
    <row r="713" spans="1:33" s="26" customFormat="1" ht="24" customHeight="1">
      <c r="A713" s="18">
        <f t="shared" si="302"/>
        <v>290</v>
      </c>
      <c r="B713" s="50" t="s">
        <v>551</v>
      </c>
      <c r="C713" s="4">
        <f t="shared" si="303"/>
        <v>20833496.390000001</v>
      </c>
      <c r="D713" s="108"/>
      <c r="E713" s="108"/>
      <c r="F713" s="108"/>
      <c r="G713" s="109"/>
      <c r="H713" s="110"/>
      <c r="I713" s="110"/>
      <c r="J713" s="107"/>
      <c r="K713" s="108"/>
      <c r="L713" s="109"/>
      <c r="M713" s="113"/>
      <c r="N713" s="113"/>
      <c r="O713" s="113"/>
      <c r="P713" s="108">
        <v>19561968.440000001</v>
      </c>
      <c r="Q713" s="108"/>
      <c r="R713" s="107"/>
      <c r="S713" s="110"/>
      <c r="T713" s="110"/>
      <c r="U713" s="110"/>
      <c r="V713" s="116">
        <v>978098.42</v>
      </c>
      <c r="W713" s="111">
        <v>293429.53000000003</v>
      </c>
      <c r="X713" s="107"/>
      <c r="Y713" s="107"/>
      <c r="Z713" s="107"/>
      <c r="AA713" s="107"/>
      <c r="AB713" s="24">
        <f t="shared" si="304"/>
        <v>20833496.390000001</v>
      </c>
      <c r="AC713" s="112"/>
      <c r="AD713" s="112">
        <v>2024</v>
      </c>
      <c r="AE713" s="112">
        <v>2025</v>
      </c>
      <c r="AF713" s="25"/>
      <c r="AG713" s="91"/>
    </row>
    <row r="714" spans="1:33" s="26" customFormat="1" ht="24" customHeight="1">
      <c r="A714" s="18">
        <f t="shared" si="302"/>
        <v>291</v>
      </c>
      <c r="B714" s="50" t="s">
        <v>550</v>
      </c>
      <c r="C714" s="4">
        <f t="shared" si="303"/>
        <v>18802021.739999998</v>
      </c>
      <c r="D714" s="108"/>
      <c r="E714" s="108"/>
      <c r="F714" s="108"/>
      <c r="G714" s="109"/>
      <c r="H714" s="110"/>
      <c r="I714" s="110"/>
      <c r="J714" s="107"/>
      <c r="K714" s="108"/>
      <c r="L714" s="109"/>
      <c r="M714" s="113"/>
      <c r="N714" s="113"/>
      <c r="O714" s="113"/>
      <c r="P714" s="108">
        <v>17654480.5</v>
      </c>
      <c r="Q714" s="108"/>
      <c r="R714" s="107"/>
      <c r="S714" s="110"/>
      <c r="T714" s="110"/>
      <c r="U714" s="110"/>
      <c r="V714" s="116">
        <v>882724.03</v>
      </c>
      <c r="W714" s="111">
        <v>264817.21000000002</v>
      </c>
      <c r="X714" s="107"/>
      <c r="Y714" s="107"/>
      <c r="Z714" s="107"/>
      <c r="AA714" s="107"/>
      <c r="AB714" s="24">
        <f t="shared" si="304"/>
        <v>18802021.739999998</v>
      </c>
      <c r="AC714" s="112"/>
      <c r="AD714" s="112">
        <v>2024</v>
      </c>
      <c r="AE714" s="112">
        <v>2025</v>
      </c>
      <c r="AF714" s="25"/>
      <c r="AG714" s="91"/>
    </row>
    <row r="715" spans="1:33" s="148" customFormat="1" ht="24" customHeight="1">
      <c r="A715" s="883" t="s">
        <v>180</v>
      </c>
      <c r="B715" s="883"/>
      <c r="C715" s="16">
        <f>SUM(C707:C714)</f>
        <v>116516314.86</v>
      </c>
      <c r="D715" s="16">
        <f t="shared" ref="D715:AC715" si="307">SUM(D707:D714)</f>
        <v>0</v>
      </c>
      <c r="E715" s="16">
        <f t="shared" si="307"/>
        <v>0</v>
      </c>
      <c r="F715" s="16">
        <f t="shared" si="307"/>
        <v>0</v>
      </c>
      <c r="G715" s="16">
        <f t="shared" si="307"/>
        <v>0</v>
      </c>
      <c r="H715" s="16">
        <f t="shared" si="307"/>
        <v>0</v>
      </c>
      <c r="I715" s="16">
        <f t="shared" si="307"/>
        <v>0</v>
      </c>
      <c r="J715" s="16">
        <f t="shared" si="307"/>
        <v>0</v>
      </c>
      <c r="K715" s="16">
        <f t="shared" si="307"/>
        <v>0</v>
      </c>
      <c r="L715" s="16">
        <f t="shared" si="307"/>
        <v>0</v>
      </c>
      <c r="M715" s="16">
        <f t="shared" si="307"/>
        <v>0</v>
      </c>
      <c r="N715" s="16">
        <f t="shared" si="307"/>
        <v>0</v>
      </c>
      <c r="O715" s="16">
        <f t="shared" si="307"/>
        <v>0</v>
      </c>
      <c r="P715" s="16">
        <f t="shared" si="307"/>
        <v>105747743.04000001</v>
      </c>
      <c r="Q715" s="16">
        <f t="shared" si="307"/>
        <v>0</v>
      </c>
      <c r="R715" s="16">
        <f t="shared" si="307"/>
        <v>0</v>
      </c>
      <c r="S715" s="16">
        <f t="shared" si="307"/>
        <v>0</v>
      </c>
      <c r="T715" s="16">
        <f t="shared" si="307"/>
        <v>0</v>
      </c>
      <c r="U715" s="16">
        <f t="shared" si="307"/>
        <v>0</v>
      </c>
      <c r="V715" s="16">
        <f t="shared" si="307"/>
        <v>9182355.6699999999</v>
      </c>
      <c r="W715" s="16">
        <f t="shared" si="307"/>
        <v>1586216.15</v>
      </c>
      <c r="X715" s="16">
        <f t="shared" si="307"/>
        <v>0</v>
      </c>
      <c r="Y715" s="16">
        <f t="shared" si="307"/>
        <v>0</v>
      </c>
      <c r="Z715" s="16">
        <f t="shared" si="307"/>
        <v>3370515.1</v>
      </c>
      <c r="AA715" s="16">
        <f t="shared" si="307"/>
        <v>0</v>
      </c>
      <c r="AB715" s="16">
        <f t="shared" si="307"/>
        <v>113145799.76000001</v>
      </c>
      <c r="AC715" s="16">
        <f t="shared" si="307"/>
        <v>0</v>
      </c>
      <c r="AD715" s="798" t="s">
        <v>29</v>
      </c>
      <c r="AE715" s="798" t="s">
        <v>29</v>
      </c>
      <c r="AF715" s="146"/>
      <c r="AG715" s="147"/>
    </row>
    <row r="716" spans="1:33" ht="24" customHeight="1">
      <c r="A716" s="888" t="s">
        <v>364</v>
      </c>
      <c r="B716" s="888"/>
      <c r="C716" s="888"/>
      <c r="D716" s="888"/>
      <c r="E716" s="888"/>
      <c r="F716" s="888"/>
      <c r="G716" s="888"/>
      <c r="H716" s="888"/>
      <c r="I716" s="888"/>
      <c r="J716" s="888"/>
      <c r="K716" s="888"/>
      <c r="L716" s="888"/>
      <c r="M716" s="888"/>
      <c r="N716" s="888"/>
      <c r="O716" s="888"/>
      <c r="P716" s="888"/>
      <c r="Q716" s="888"/>
      <c r="R716" s="888"/>
      <c r="S716" s="888"/>
      <c r="T716" s="889"/>
      <c r="U716" s="889"/>
      <c r="V716" s="888"/>
      <c r="W716" s="888"/>
      <c r="X716" s="888"/>
      <c r="Y716" s="888"/>
      <c r="Z716" s="888"/>
      <c r="AA716" s="888"/>
      <c r="AB716" s="888"/>
      <c r="AC716" s="888"/>
      <c r="AD716" s="888"/>
      <c r="AE716" s="888"/>
      <c r="AF716" s="808"/>
      <c r="AG716" s="806"/>
    </row>
    <row r="717" spans="1:33" s="26" customFormat="1" ht="24" customHeight="1">
      <c r="A717" s="18">
        <f>A714+1</f>
        <v>292</v>
      </c>
      <c r="B717" s="37" t="s">
        <v>226</v>
      </c>
      <c r="C717" s="4">
        <f t="shared" ref="C717:C744" si="308">D717+F717+G717+H717+I717+K717+L717+M717+O717+P717+Q717+R717+S717+W717+V717+X717</f>
        <v>18412261.739999998</v>
      </c>
      <c r="D717" s="9">
        <f>ROUND(2768.7*643.1,2)</f>
        <v>1780550.97</v>
      </c>
      <c r="E717" s="9"/>
      <c r="F717" s="9"/>
      <c r="G717" s="12">
        <f>ROUND(2768.7*650.2,2)</f>
        <v>1800208.74</v>
      </c>
      <c r="H717" s="13">
        <f>ROUND(2768.7*644.55,2)</f>
        <v>1784565.59</v>
      </c>
      <c r="I717" s="13">
        <f>ROUND(2768.7*3349.66,2)</f>
        <v>9274203.6400000006</v>
      </c>
      <c r="J717" s="21"/>
      <c r="K717" s="9"/>
      <c r="L717" s="12">
        <f>ROUND(2768.7*903.99,2)</f>
        <v>2502877.11</v>
      </c>
      <c r="M717" s="22"/>
      <c r="N717" s="22"/>
      <c r="O717" s="22"/>
      <c r="P717" s="3"/>
      <c r="Q717" s="9"/>
      <c r="R717" s="21"/>
      <c r="S717" s="13"/>
      <c r="T717" s="13"/>
      <c r="U717" s="13"/>
      <c r="V717" s="3">
        <v>1012719.6</v>
      </c>
      <c r="W717" s="24">
        <f>ROUND((D717+G717+H717+I717+L717+K717+F717+O717+P717+Q717+R717+S717)*1.5%,2)</f>
        <v>257136.09</v>
      </c>
      <c r="X717" s="21"/>
      <c r="Y717" s="21"/>
      <c r="Z717" s="21"/>
      <c r="AA717" s="21"/>
      <c r="AB717" s="24">
        <f t="shared" ref="AB717:AB744" si="309">C717</f>
        <v>18412261.739999998</v>
      </c>
      <c r="AC717" s="188"/>
      <c r="AD717" s="188">
        <v>2024</v>
      </c>
      <c r="AE717" s="188">
        <v>2024</v>
      </c>
      <c r="AF717" s="25"/>
      <c r="AG717" s="91"/>
    </row>
    <row r="718" spans="1:33" s="26" customFormat="1" ht="24" customHeight="1">
      <c r="A718" s="18">
        <f>A717+1</f>
        <v>293</v>
      </c>
      <c r="B718" s="37" t="s">
        <v>581</v>
      </c>
      <c r="C718" s="4">
        <f t="shared" si="308"/>
        <v>14476240.119999999</v>
      </c>
      <c r="D718" s="9"/>
      <c r="E718" s="9"/>
      <c r="F718" s="9"/>
      <c r="G718" s="12"/>
      <c r="H718" s="13"/>
      <c r="I718" s="13"/>
      <c r="J718" s="21"/>
      <c r="K718" s="9"/>
      <c r="L718" s="12"/>
      <c r="M718" s="22"/>
      <c r="N718" s="22"/>
      <c r="O718" s="22"/>
      <c r="P718" s="3">
        <v>13592713.720000001</v>
      </c>
      <c r="Q718" s="9"/>
      <c r="R718" s="21"/>
      <c r="S718" s="13"/>
      <c r="T718" s="13"/>
      <c r="U718" s="13"/>
      <c r="V718" s="3">
        <v>679635.69</v>
      </c>
      <c r="W718" s="24">
        <v>203890.71</v>
      </c>
      <c r="X718" s="21"/>
      <c r="Y718" s="21"/>
      <c r="Z718" s="21"/>
      <c r="AA718" s="21"/>
      <c r="AB718" s="24">
        <f t="shared" si="309"/>
        <v>14476240.119999999</v>
      </c>
      <c r="AC718" s="188"/>
      <c r="AD718" s="188">
        <v>2024</v>
      </c>
      <c r="AE718" s="188">
        <v>2025</v>
      </c>
      <c r="AF718" s="25"/>
      <c r="AG718" s="91"/>
    </row>
    <row r="719" spans="1:33" s="26" customFormat="1" ht="24" customHeight="1">
      <c r="A719" s="18">
        <f t="shared" ref="A719:A772" si="310">A718+1</f>
        <v>294</v>
      </c>
      <c r="B719" s="37" t="s">
        <v>582</v>
      </c>
      <c r="C719" s="4">
        <f t="shared" si="308"/>
        <v>15097938.59</v>
      </c>
      <c r="D719" s="9"/>
      <c r="E719" s="9"/>
      <c r="F719" s="9"/>
      <c r="G719" s="12"/>
      <c r="H719" s="13"/>
      <c r="I719" s="13"/>
      <c r="J719" s="21"/>
      <c r="K719" s="9"/>
      <c r="L719" s="12"/>
      <c r="M719" s="22"/>
      <c r="N719" s="22"/>
      <c r="O719" s="22"/>
      <c r="P719" s="3">
        <v>14176468.16</v>
      </c>
      <c r="Q719" s="9"/>
      <c r="R719" s="21"/>
      <c r="S719" s="13"/>
      <c r="T719" s="13"/>
      <c r="U719" s="13"/>
      <c r="V719" s="3">
        <v>708823.41</v>
      </c>
      <c r="W719" s="24">
        <v>212647.02</v>
      </c>
      <c r="X719" s="21"/>
      <c r="Y719" s="21"/>
      <c r="Z719" s="21"/>
      <c r="AA719" s="21"/>
      <c r="AB719" s="24">
        <f t="shared" si="309"/>
        <v>15097938.59</v>
      </c>
      <c r="AC719" s="188"/>
      <c r="AD719" s="188">
        <v>2024</v>
      </c>
      <c r="AE719" s="188">
        <v>2025</v>
      </c>
      <c r="AF719" s="25"/>
      <c r="AG719" s="91"/>
    </row>
    <row r="720" spans="1:33" s="26" customFormat="1" ht="24" customHeight="1">
      <c r="A720" s="18">
        <f t="shared" si="310"/>
        <v>295</v>
      </c>
      <c r="B720" s="37" t="s">
        <v>583</v>
      </c>
      <c r="C720" s="4">
        <f t="shared" si="308"/>
        <v>16103893.869999999</v>
      </c>
      <c r="D720" s="9"/>
      <c r="E720" s="9"/>
      <c r="F720" s="9"/>
      <c r="G720" s="12"/>
      <c r="H720" s="13"/>
      <c r="I720" s="13"/>
      <c r="J720" s="21"/>
      <c r="K720" s="9"/>
      <c r="L720" s="12"/>
      <c r="M720" s="22"/>
      <c r="N720" s="22"/>
      <c r="O720" s="22"/>
      <c r="P720" s="3">
        <v>15121027.1</v>
      </c>
      <c r="Q720" s="9"/>
      <c r="R720" s="21"/>
      <c r="S720" s="13"/>
      <c r="T720" s="13"/>
      <c r="U720" s="13"/>
      <c r="V720" s="3">
        <v>756051.36</v>
      </c>
      <c r="W720" s="24">
        <v>226815.41</v>
      </c>
      <c r="X720" s="21"/>
      <c r="Y720" s="21"/>
      <c r="Z720" s="21"/>
      <c r="AA720" s="21"/>
      <c r="AB720" s="24">
        <f t="shared" si="309"/>
        <v>16103893.869999999</v>
      </c>
      <c r="AC720" s="188"/>
      <c r="AD720" s="188">
        <v>2024</v>
      </c>
      <c r="AE720" s="188">
        <v>2025</v>
      </c>
      <c r="AF720" s="25"/>
      <c r="AG720" s="91"/>
    </row>
    <row r="721" spans="1:33" s="26" customFormat="1" ht="24" customHeight="1">
      <c r="A721" s="18">
        <f t="shared" si="310"/>
        <v>296</v>
      </c>
      <c r="B721" s="37" t="s">
        <v>584</v>
      </c>
      <c r="C721" s="4">
        <f t="shared" si="308"/>
        <v>17255304.829999998</v>
      </c>
      <c r="D721" s="9"/>
      <c r="E721" s="9"/>
      <c r="F721" s="9"/>
      <c r="G721" s="12"/>
      <c r="H721" s="13"/>
      <c r="I721" s="13"/>
      <c r="J721" s="21"/>
      <c r="K721" s="9"/>
      <c r="L721" s="12"/>
      <c r="M721" s="22"/>
      <c r="N721" s="22"/>
      <c r="O721" s="22"/>
      <c r="P721" s="3">
        <v>16202164.16</v>
      </c>
      <c r="Q721" s="9"/>
      <c r="R721" s="21"/>
      <c r="S721" s="13"/>
      <c r="T721" s="13"/>
      <c r="U721" s="13"/>
      <c r="V721" s="3">
        <v>810108.21</v>
      </c>
      <c r="W721" s="24">
        <v>243032.46</v>
      </c>
      <c r="X721" s="21"/>
      <c r="Y721" s="21"/>
      <c r="Z721" s="21"/>
      <c r="AA721" s="21"/>
      <c r="AB721" s="24">
        <f t="shared" si="309"/>
        <v>17255304.829999998</v>
      </c>
      <c r="AC721" s="188"/>
      <c r="AD721" s="188">
        <v>2024</v>
      </c>
      <c r="AE721" s="188">
        <v>2025</v>
      </c>
      <c r="AF721" s="25"/>
      <c r="AG721" s="91"/>
    </row>
    <row r="722" spans="1:33" s="26" customFormat="1" ht="24" customHeight="1">
      <c r="A722" s="231">
        <f t="shared" si="310"/>
        <v>297</v>
      </c>
      <c r="B722" s="311" t="s">
        <v>700</v>
      </c>
      <c r="C722" s="232">
        <f>D722+F722+G722+H722+I722+K722+L722+M722+O722+P722+Q722+R722+S722+W722+V722+X722</f>
        <v>14126996.42</v>
      </c>
      <c r="D722" s="228"/>
      <c r="E722" s="228"/>
      <c r="F722" s="228"/>
      <c r="G722" s="182"/>
      <c r="H722" s="234"/>
      <c r="I722" s="234">
        <v>13019368.73</v>
      </c>
      <c r="J722" s="229"/>
      <c r="K722" s="228"/>
      <c r="L722" s="182"/>
      <c r="M722" s="185"/>
      <c r="N722" s="185"/>
      <c r="O722" s="185"/>
      <c r="P722" s="236"/>
      <c r="Q722" s="228"/>
      <c r="R722" s="229"/>
      <c r="S722" s="234"/>
      <c r="T722" s="234"/>
      <c r="U722" s="234"/>
      <c r="V722" s="253">
        <v>911355.8</v>
      </c>
      <c r="W722" s="392">
        <v>196271.89</v>
      </c>
      <c r="X722" s="229"/>
      <c r="Y722" s="230">
        <f t="shared" ref="Y722:Y729" si="311">C722*71%</f>
        <v>10030167.460000001</v>
      </c>
      <c r="Z722" s="230">
        <f t="shared" ref="Z722:Z729" si="312">C722*29%</f>
        <v>4096828.96</v>
      </c>
      <c r="AA722" s="229"/>
      <c r="AB722" s="230"/>
      <c r="AC722" s="231"/>
      <c r="AD722" s="231">
        <v>2024</v>
      </c>
      <c r="AE722" s="231">
        <v>2024</v>
      </c>
      <c r="AF722" s="91"/>
      <c r="AG722" s="262"/>
    </row>
    <row r="723" spans="1:33" s="26" customFormat="1" ht="24" customHeight="1">
      <c r="A723" s="231">
        <f t="shared" si="310"/>
        <v>298</v>
      </c>
      <c r="B723" s="311" t="s">
        <v>701</v>
      </c>
      <c r="C723" s="232">
        <f t="shared" ref="C723:C731" si="313">D723+F723+G723+H723+I723+K723+L723+M723+O723+P723+Q723+R723+S723+W723+V723+X723</f>
        <v>14168180.539999999</v>
      </c>
      <c r="D723" s="228"/>
      <c r="E723" s="228"/>
      <c r="F723" s="228"/>
      <c r="G723" s="182"/>
      <c r="H723" s="234"/>
      <c r="I723" s="234">
        <v>13057323.800000001</v>
      </c>
      <c r="J723" s="229"/>
      <c r="K723" s="228"/>
      <c r="L723" s="182"/>
      <c r="M723" s="185"/>
      <c r="N723" s="185"/>
      <c r="O723" s="185"/>
      <c r="P723" s="236"/>
      <c r="Q723" s="228"/>
      <c r="R723" s="229"/>
      <c r="S723" s="234"/>
      <c r="T723" s="234"/>
      <c r="U723" s="234"/>
      <c r="V723" s="253">
        <v>914012.66</v>
      </c>
      <c r="W723" s="392">
        <v>196844.08</v>
      </c>
      <c r="X723" s="229"/>
      <c r="Y723" s="230">
        <f t="shared" si="311"/>
        <v>10059408.18</v>
      </c>
      <c r="Z723" s="230">
        <f t="shared" si="312"/>
        <v>4108772.36</v>
      </c>
      <c r="AA723" s="229"/>
      <c r="AB723" s="230"/>
      <c r="AC723" s="231"/>
      <c r="AD723" s="231">
        <v>2024</v>
      </c>
      <c r="AE723" s="231">
        <v>2024</v>
      </c>
      <c r="AF723" s="91"/>
      <c r="AG723" s="262"/>
    </row>
    <row r="724" spans="1:33" s="26" customFormat="1" ht="24" customHeight="1">
      <c r="A724" s="231">
        <f t="shared" si="310"/>
        <v>299</v>
      </c>
      <c r="B724" s="482" t="s">
        <v>134</v>
      </c>
      <c r="C724" s="453">
        <f t="shared" si="313"/>
        <v>2830916.33</v>
      </c>
      <c r="D724" s="472">
        <v>632135.68000000005</v>
      </c>
      <c r="E724" s="472"/>
      <c r="F724" s="472"/>
      <c r="G724" s="466">
        <v>683056.44</v>
      </c>
      <c r="H724" s="473">
        <v>1231744.83</v>
      </c>
      <c r="I724" s="473"/>
      <c r="J724" s="467"/>
      <c r="K724" s="472"/>
      <c r="L724" s="466"/>
      <c r="M724" s="474"/>
      <c r="N724" s="474"/>
      <c r="O724" s="474"/>
      <c r="P724" s="475"/>
      <c r="Q724" s="472"/>
      <c r="R724" s="467"/>
      <c r="S724" s="473"/>
      <c r="T724" s="473"/>
      <c r="U724" s="473"/>
      <c r="V724" s="475">
        <v>233658.17</v>
      </c>
      <c r="W724" s="461">
        <v>50321.21</v>
      </c>
      <c r="X724" s="467"/>
      <c r="Y724" s="461">
        <f t="shared" si="311"/>
        <v>2009950.59</v>
      </c>
      <c r="Z724" s="461">
        <f t="shared" si="312"/>
        <v>820965.74</v>
      </c>
      <c r="AA724" s="467"/>
      <c r="AB724" s="461"/>
      <c r="AC724" s="476"/>
      <c r="AD724" s="231">
        <v>2024</v>
      </c>
      <c r="AE724" s="231">
        <v>2024</v>
      </c>
      <c r="AF724" s="91"/>
      <c r="AG724" s="262"/>
    </row>
    <row r="725" spans="1:33" s="26" customFormat="1" ht="24" customHeight="1">
      <c r="A725" s="231">
        <f t="shared" si="310"/>
        <v>300</v>
      </c>
      <c r="B725" s="482" t="s">
        <v>702</v>
      </c>
      <c r="C725" s="453">
        <f t="shared" si="313"/>
        <v>3622210.73</v>
      </c>
      <c r="D725" s="472">
        <v>637151.62</v>
      </c>
      <c r="E725" s="472"/>
      <c r="F725" s="472"/>
      <c r="G725" s="466">
        <v>683209.89</v>
      </c>
      <c r="H725" s="473">
        <v>1870584.94</v>
      </c>
      <c r="I725" s="473"/>
      <c r="J725" s="467"/>
      <c r="K725" s="472"/>
      <c r="L725" s="466"/>
      <c r="M725" s="474"/>
      <c r="N725" s="474"/>
      <c r="O725" s="474"/>
      <c r="P725" s="475"/>
      <c r="Q725" s="472"/>
      <c r="R725" s="467"/>
      <c r="S725" s="473"/>
      <c r="T725" s="473"/>
      <c r="U725" s="473"/>
      <c r="V725" s="475">
        <v>354844.15</v>
      </c>
      <c r="W725" s="461">
        <f>28572.32+47847.81</f>
        <v>76420.13</v>
      </c>
      <c r="X725" s="467"/>
      <c r="Y725" s="461">
        <f t="shared" si="311"/>
        <v>2571769.62</v>
      </c>
      <c r="Z725" s="461">
        <f t="shared" si="312"/>
        <v>1050441.1100000001</v>
      </c>
      <c r="AA725" s="467"/>
      <c r="AB725" s="461"/>
      <c r="AC725" s="476"/>
      <c r="AD725" s="231">
        <v>2024</v>
      </c>
      <c r="AE725" s="231">
        <v>2024</v>
      </c>
      <c r="AF725" s="91"/>
      <c r="AG725" s="262"/>
    </row>
    <row r="726" spans="1:33" s="26" customFormat="1" ht="24" customHeight="1">
      <c r="A726" s="231">
        <f t="shared" si="310"/>
        <v>301</v>
      </c>
      <c r="B726" s="482" t="s">
        <v>135</v>
      </c>
      <c r="C726" s="453">
        <f t="shared" si="313"/>
        <v>3649348.75</v>
      </c>
      <c r="D726" s="472">
        <v>702236.98</v>
      </c>
      <c r="E726" s="472"/>
      <c r="F726" s="472"/>
      <c r="G726" s="466">
        <v>756529.12</v>
      </c>
      <c r="H726" s="473">
        <v>1780164.79</v>
      </c>
      <c r="I726" s="473"/>
      <c r="J726" s="467"/>
      <c r="K726" s="472"/>
      <c r="L726" s="466"/>
      <c r="M726" s="474"/>
      <c r="N726" s="474"/>
      <c r="O726" s="474"/>
      <c r="P726" s="475"/>
      <c r="Q726" s="472"/>
      <c r="R726" s="467"/>
      <c r="S726" s="473"/>
      <c r="T726" s="473"/>
      <c r="U726" s="473"/>
      <c r="V726" s="475">
        <v>337691.72</v>
      </c>
      <c r="W726" s="461">
        <f>27191.19+45534.95</f>
        <v>72726.14</v>
      </c>
      <c r="X726" s="467"/>
      <c r="Y726" s="461">
        <f t="shared" si="311"/>
        <v>2591037.61</v>
      </c>
      <c r="Z726" s="461">
        <f t="shared" si="312"/>
        <v>1058311.1399999999</v>
      </c>
      <c r="AA726" s="467"/>
      <c r="AB726" s="461"/>
      <c r="AC726" s="476"/>
      <c r="AD726" s="231">
        <v>2024</v>
      </c>
      <c r="AE726" s="231">
        <v>2024</v>
      </c>
      <c r="AF726" s="91"/>
      <c r="AG726" s="262"/>
    </row>
    <row r="727" spans="1:33" s="26" customFormat="1" ht="24" customHeight="1">
      <c r="A727" s="231">
        <f t="shared" si="310"/>
        <v>302</v>
      </c>
      <c r="B727" s="482" t="s">
        <v>703</v>
      </c>
      <c r="C727" s="453">
        <f t="shared" si="313"/>
        <v>5866182.4400000004</v>
      </c>
      <c r="D727" s="472">
        <v>1495867.8</v>
      </c>
      <c r="E727" s="472"/>
      <c r="F727" s="472"/>
      <c r="G727" s="466">
        <v>1896677.52</v>
      </c>
      <c r="H727" s="473">
        <v>1983212.35</v>
      </c>
      <c r="I727" s="473"/>
      <c r="J727" s="467"/>
      <c r="K727" s="472"/>
      <c r="L727" s="466"/>
      <c r="M727" s="474"/>
      <c r="N727" s="474"/>
      <c r="O727" s="474"/>
      <c r="P727" s="475"/>
      <c r="Q727" s="472"/>
      <c r="R727" s="467"/>
      <c r="S727" s="473"/>
      <c r="T727" s="473"/>
      <c r="U727" s="473"/>
      <c r="V727" s="475">
        <v>403879.22</v>
      </c>
      <c r="W727" s="461">
        <v>86545.55</v>
      </c>
      <c r="X727" s="467"/>
      <c r="Y727" s="461">
        <f t="shared" si="311"/>
        <v>4164989.53</v>
      </c>
      <c r="Z727" s="461">
        <f t="shared" si="312"/>
        <v>1701192.91</v>
      </c>
      <c r="AA727" s="467"/>
      <c r="AB727" s="461"/>
      <c r="AC727" s="476"/>
      <c r="AD727" s="231">
        <v>2024</v>
      </c>
      <c r="AE727" s="231">
        <v>2024</v>
      </c>
      <c r="AF727" s="91"/>
      <c r="AG727" s="262"/>
    </row>
    <row r="728" spans="1:33" s="26" customFormat="1" ht="24" customHeight="1">
      <c r="A728" s="231">
        <f t="shared" si="310"/>
        <v>303</v>
      </c>
      <c r="B728" s="482" t="s">
        <v>704</v>
      </c>
      <c r="C728" s="453">
        <f t="shared" si="313"/>
        <v>4498618.7</v>
      </c>
      <c r="D728" s="472">
        <v>1007991.42</v>
      </c>
      <c r="E728" s="472"/>
      <c r="F728" s="472"/>
      <c r="G728" s="466">
        <v>1014789.97</v>
      </c>
      <c r="H728" s="473">
        <v>1984627.39</v>
      </c>
      <c r="I728" s="473"/>
      <c r="J728" s="467"/>
      <c r="K728" s="472"/>
      <c r="L728" s="466"/>
      <c r="M728" s="474"/>
      <c r="N728" s="474"/>
      <c r="O728" s="474"/>
      <c r="P728" s="475"/>
      <c r="Q728" s="472"/>
      <c r="R728" s="467"/>
      <c r="S728" s="473"/>
      <c r="T728" s="479"/>
      <c r="U728" s="473"/>
      <c r="V728" s="475">
        <v>404167.4</v>
      </c>
      <c r="W728" s="461">
        <f>24424.83+62617.69</f>
        <v>87042.52</v>
      </c>
      <c r="X728" s="467"/>
      <c r="Y728" s="461">
        <f t="shared" si="311"/>
        <v>3194019.28</v>
      </c>
      <c r="Z728" s="461">
        <f t="shared" si="312"/>
        <v>1304599.42</v>
      </c>
      <c r="AA728" s="467"/>
      <c r="AB728" s="461"/>
      <c r="AC728" s="476"/>
      <c r="AD728" s="231">
        <v>2024</v>
      </c>
      <c r="AE728" s="231">
        <v>2024</v>
      </c>
      <c r="AF728" s="91"/>
      <c r="AG728" s="262"/>
    </row>
    <row r="729" spans="1:33" s="26" customFormat="1" ht="24" customHeight="1">
      <c r="A729" s="231">
        <f t="shared" si="310"/>
        <v>304</v>
      </c>
      <c r="B729" s="482" t="s">
        <v>705</v>
      </c>
      <c r="C729" s="453">
        <f t="shared" si="313"/>
        <v>7788196.8200000003</v>
      </c>
      <c r="D729" s="472">
        <v>1820482.54</v>
      </c>
      <c r="E729" s="472"/>
      <c r="F729" s="472"/>
      <c r="G729" s="466">
        <v>1995486.67</v>
      </c>
      <c r="H729" s="473">
        <v>3184131.57</v>
      </c>
      <c r="I729" s="473"/>
      <c r="J729" s="467"/>
      <c r="K729" s="472"/>
      <c r="L729" s="466"/>
      <c r="M729" s="474"/>
      <c r="N729" s="474"/>
      <c r="O729" s="474"/>
      <c r="P729" s="475"/>
      <c r="Q729" s="472"/>
      <c r="R729" s="816"/>
      <c r="S729" s="473"/>
      <c r="T729" s="479"/>
      <c r="U729" s="473"/>
      <c r="V729" s="475">
        <v>648445.23</v>
      </c>
      <c r="W729" s="461">
        <f>39187.14+100463.67</f>
        <v>139650.81</v>
      </c>
      <c r="X729" s="467"/>
      <c r="Y729" s="461">
        <f t="shared" si="311"/>
        <v>5529619.7400000002</v>
      </c>
      <c r="Z729" s="461">
        <f t="shared" si="312"/>
        <v>2258577.08</v>
      </c>
      <c r="AA729" s="467"/>
      <c r="AB729" s="461"/>
      <c r="AC729" s="476"/>
      <c r="AD729" s="231">
        <v>2024</v>
      </c>
      <c r="AE729" s="231">
        <v>2024</v>
      </c>
      <c r="AF729" s="91"/>
      <c r="AG729" s="262"/>
    </row>
    <row r="730" spans="1:33" s="26" customFormat="1" ht="24" customHeight="1">
      <c r="A730" s="231">
        <f t="shared" si="310"/>
        <v>305</v>
      </c>
      <c r="B730" s="482" t="s">
        <v>706</v>
      </c>
      <c r="C730" s="453">
        <f>D730+F730+G730+H730+I730+K730+L730+M730+O730+P730+Q730+R730+S730+W730+V730+X730+U730</f>
        <v>9983289.6999999993</v>
      </c>
      <c r="D730" s="457">
        <v>649077</v>
      </c>
      <c r="E730" s="457"/>
      <c r="F730" s="457"/>
      <c r="G730" s="464">
        <v>454297.8</v>
      </c>
      <c r="H730" s="457">
        <v>923468.05</v>
      </c>
      <c r="I730" s="456"/>
      <c r="J730" s="458"/>
      <c r="K730" s="457"/>
      <c r="L730" s="464"/>
      <c r="M730" s="480"/>
      <c r="N730" s="480"/>
      <c r="O730" s="480"/>
      <c r="P730" s="459"/>
      <c r="Q730" s="457"/>
      <c r="R730" s="817">
        <v>6449394.96</v>
      </c>
      <c r="S730" s="456"/>
      <c r="T730" s="479">
        <v>2</v>
      </c>
      <c r="U730" s="473">
        <f>442068*2</f>
        <v>884136</v>
      </c>
      <c r="V730" s="459">
        <v>502067.87</v>
      </c>
      <c r="W730" s="481">
        <f>107585.98+6631.02*2</f>
        <v>120848.02</v>
      </c>
      <c r="X730" s="467"/>
      <c r="Y730" s="461">
        <f>9085891.66*71%</f>
        <v>6450983.0800000001</v>
      </c>
      <c r="Z730" s="461">
        <f>9085891.66*29%+897398.04</f>
        <v>3532306.62</v>
      </c>
      <c r="AA730" s="467"/>
      <c r="AB730" s="461"/>
      <c r="AC730" s="476"/>
      <c r="AD730" s="231">
        <v>2024</v>
      </c>
      <c r="AE730" s="231">
        <v>2024</v>
      </c>
      <c r="AF730" s="91"/>
      <c r="AG730" s="262"/>
    </row>
    <row r="731" spans="1:33" s="26" customFormat="1" ht="24" customHeight="1">
      <c r="A731" s="231">
        <f t="shared" si="310"/>
        <v>306</v>
      </c>
      <c r="B731" s="482" t="s">
        <v>707</v>
      </c>
      <c r="C731" s="453">
        <f t="shared" si="313"/>
        <v>9061157.0399999991</v>
      </c>
      <c r="D731" s="457">
        <v>647110.1</v>
      </c>
      <c r="E731" s="457"/>
      <c r="F731" s="465"/>
      <c r="G731" s="464">
        <v>452921.14</v>
      </c>
      <c r="H731" s="465">
        <v>923468.05</v>
      </c>
      <c r="I731" s="456"/>
      <c r="J731" s="458"/>
      <c r="K731" s="457"/>
      <c r="L731" s="464"/>
      <c r="M731" s="480"/>
      <c r="N731" s="480"/>
      <c r="O731" s="480"/>
      <c r="P731" s="459"/>
      <c r="Q731" s="457"/>
      <c r="R731" s="817">
        <v>6429851.3399999999</v>
      </c>
      <c r="S731" s="456"/>
      <c r="T731" s="479"/>
      <c r="U731" s="473"/>
      <c r="V731" s="459">
        <v>500546.46</v>
      </c>
      <c r="W731" s="458">
        <v>107259.95</v>
      </c>
      <c r="X731" s="467"/>
      <c r="Y731" s="461">
        <f>C731*71%</f>
        <v>6433421.5</v>
      </c>
      <c r="Z731" s="461">
        <f>C731*29%</f>
        <v>2627735.54</v>
      </c>
      <c r="AA731" s="467"/>
      <c r="AB731" s="461"/>
      <c r="AC731" s="476"/>
      <c r="AD731" s="231">
        <v>2024</v>
      </c>
      <c r="AE731" s="231">
        <v>2024</v>
      </c>
      <c r="AF731" s="91"/>
      <c r="AG731" s="262"/>
    </row>
    <row r="732" spans="1:33" s="26" customFormat="1" ht="24" customHeight="1">
      <c r="A732" s="231">
        <f t="shared" si="310"/>
        <v>307</v>
      </c>
      <c r="B732" s="311" t="s">
        <v>708</v>
      </c>
      <c r="C732" s="232">
        <f>D732+F732+G732+H732+I732+K732+L732+M732+O732+P732+Q732+R732+S732+W732+V732+X732+U732</f>
        <v>10060798.07</v>
      </c>
      <c r="D732" s="253">
        <v>650060.44999999995</v>
      </c>
      <c r="E732" s="253"/>
      <c r="F732" s="269"/>
      <c r="G732" s="182">
        <v>454986.13</v>
      </c>
      <c r="H732" s="269">
        <v>980408.42</v>
      </c>
      <c r="I732" s="255"/>
      <c r="J732" s="238"/>
      <c r="K732" s="253"/>
      <c r="L732" s="207"/>
      <c r="M732" s="208"/>
      <c r="N732" s="208"/>
      <c r="O732" s="208"/>
      <c r="P732" s="258"/>
      <c r="Q732" s="253"/>
      <c r="R732" s="309">
        <v>6466007.7599999998</v>
      </c>
      <c r="S732" s="255"/>
      <c r="T732" s="366">
        <v>2</v>
      </c>
      <c r="U732" s="234">
        <f>442737.8*2</f>
        <v>885475.6</v>
      </c>
      <c r="V732" s="258">
        <v>502828.58</v>
      </c>
      <c r="W732" s="367">
        <f>107748.99+6641.07*2</f>
        <v>121031.13</v>
      </c>
      <c r="X732" s="229"/>
      <c r="Y732" s="230">
        <f>9162040.33*71%</f>
        <v>6505048.6299999999</v>
      </c>
      <c r="Z732" s="230">
        <f>9162040.33*29%+898757.74</f>
        <v>3555749.44</v>
      </c>
      <c r="AA732" s="229"/>
      <c r="AB732" s="230"/>
      <c r="AC732" s="231"/>
      <c r="AD732" s="231">
        <v>2024</v>
      </c>
      <c r="AE732" s="231">
        <v>2024</v>
      </c>
      <c r="AF732" s="91"/>
      <c r="AG732" s="262"/>
    </row>
    <row r="733" spans="1:33" s="26" customFormat="1" ht="24" customHeight="1">
      <c r="A733" s="426">
        <f t="shared" si="310"/>
        <v>308</v>
      </c>
      <c r="B733" s="512" t="s">
        <v>128</v>
      </c>
      <c r="C733" s="418">
        <f>D733+F733+G733+H733+I733+K733+L733+M733+O733+P733+Q733+R733+S733+W733+V733+X733+U733</f>
        <v>3685353.86</v>
      </c>
      <c r="D733" s="424">
        <v>396157.26</v>
      </c>
      <c r="E733" s="424"/>
      <c r="F733" s="684"/>
      <c r="G733" s="578">
        <v>373822.61</v>
      </c>
      <c r="H733" s="684">
        <v>1341424.17</v>
      </c>
      <c r="I733" s="676"/>
      <c r="J733" s="427"/>
      <c r="K733" s="424"/>
      <c r="L733" s="617"/>
      <c r="M733" s="618"/>
      <c r="N733" s="618"/>
      <c r="O733" s="618"/>
      <c r="P733" s="685"/>
      <c r="Q733" s="686"/>
      <c r="R733" s="761"/>
      <c r="S733" s="687"/>
      <c r="T733" s="688">
        <v>2</v>
      </c>
      <c r="U733" s="662">
        <f>655868.16*2</f>
        <v>1311736.3200000001</v>
      </c>
      <c r="V733" s="685">
        <v>199736.74</v>
      </c>
      <c r="W733" s="689">
        <f>42800.72+9838.02*2</f>
        <v>62476.76</v>
      </c>
      <c r="X733" s="660"/>
      <c r="Y733" s="654">
        <f>ROUNDDOWN(2353941.5*71%,2)</f>
        <v>1671298.46</v>
      </c>
      <c r="Z733" s="654">
        <f>2353941.5*29%+1331412.36</f>
        <v>2014055.4</v>
      </c>
      <c r="AA733" s="660"/>
      <c r="AB733" s="654"/>
      <c r="AC733" s="671"/>
      <c r="AD733" s="648">
        <v>2024</v>
      </c>
      <c r="AE733" s="648">
        <v>2024</v>
      </c>
      <c r="AF733" s="91"/>
      <c r="AG733" s="262"/>
    </row>
    <row r="734" spans="1:33" s="26" customFormat="1" ht="24" customHeight="1">
      <c r="A734" s="648">
        <f t="shared" si="310"/>
        <v>309</v>
      </c>
      <c r="B734" s="695" t="s">
        <v>709</v>
      </c>
      <c r="C734" s="649">
        <f>D734+F734+G734+H734+I734+K734+L734+M734+O734+P734+Q734+R734+S734+W734+V734+X734+U734</f>
        <v>9421000.6699999999</v>
      </c>
      <c r="D734" s="686">
        <v>336637.51</v>
      </c>
      <c r="E734" s="686"/>
      <c r="F734" s="690"/>
      <c r="G734" s="661">
        <v>368464.77</v>
      </c>
      <c r="H734" s="690">
        <v>934428.6</v>
      </c>
      <c r="I734" s="687"/>
      <c r="J734" s="691"/>
      <c r="K734" s="686"/>
      <c r="L734" s="692"/>
      <c r="M734" s="693"/>
      <c r="N734" s="693"/>
      <c r="O734" s="693"/>
      <c r="P734" s="685"/>
      <c r="Q734" s="686"/>
      <c r="R734" s="761">
        <v>6162760.7999999998</v>
      </c>
      <c r="S734" s="687"/>
      <c r="T734" s="688">
        <v>2</v>
      </c>
      <c r="U734" s="662">
        <f>510722.5*2</f>
        <v>1021445</v>
      </c>
      <c r="V734" s="685">
        <v>479246.61</v>
      </c>
      <c r="W734" s="689">
        <f>102695.7+7660.84*2</f>
        <v>118017.38</v>
      </c>
      <c r="X734" s="660"/>
      <c r="Y734" s="654">
        <f>8384233.99*71%</f>
        <v>5952806.1299999999</v>
      </c>
      <c r="Z734" s="654">
        <f>8384233.99*29%+1036766.68</f>
        <v>3468194.54</v>
      </c>
      <c r="AA734" s="660"/>
      <c r="AB734" s="654"/>
      <c r="AC734" s="671"/>
      <c r="AD734" s="648">
        <v>2024</v>
      </c>
      <c r="AE734" s="648">
        <v>2024</v>
      </c>
      <c r="AF734" s="91"/>
      <c r="AG734" s="262"/>
    </row>
    <row r="735" spans="1:33" s="26" customFormat="1" ht="24" customHeight="1">
      <c r="A735" s="648">
        <f t="shared" si="310"/>
        <v>310</v>
      </c>
      <c r="B735" s="695" t="s">
        <v>710</v>
      </c>
      <c r="C735" s="649">
        <f t="shared" ref="C735" si="314">D735+F735+G735+H735+I735+K735+L735+M735+O735+P735+Q735+R735+S735+W735+V735+X735</f>
        <v>9643609.7300000004</v>
      </c>
      <c r="D735" s="686">
        <v>338488.15</v>
      </c>
      <c r="E735" s="686"/>
      <c r="F735" s="690"/>
      <c r="G735" s="661">
        <v>372950.61</v>
      </c>
      <c r="H735" s="690">
        <v>1086903.6200000001</v>
      </c>
      <c r="I735" s="687"/>
      <c r="J735" s="691"/>
      <c r="K735" s="686"/>
      <c r="L735" s="692"/>
      <c r="M735" s="693"/>
      <c r="N735" s="693"/>
      <c r="O735" s="693"/>
      <c r="P735" s="685"/>
      <c r="Q735" s="686"/>
      <c r="R735" s="694">
        <v>7168366.8499999996</v>
      </c>
      <c r="S735" s="687"/>
      <c r="T735" s="688"/>
      <c r="U735" s="662"/>
      <c r="V735" s="685">
        <v>557447.48</v>
      </c>
      <c r="W735" s="691">
        <v>119453.02</v>
      </c>
      <c r="X735" s="660"/>
      <c r="Y735" s="654">
        <f>C735*71%</f>
        <v>6846962.9100000001</v>
      </c>
      <c r="Z735" s="654">
        <f>C735*29%</f>
        <v>2796646.82</v>
      </c>
      <c r="AA735" s="660"/>
      <c r="AB735" s="654"/>
      <c r="AC735" s="156"/>
      <c r="AD735" s="648">
        <v>2024</v>
      </c>
      <c r="AE735" s="648">
        <v>2024</v>
      </c>
      <c r="AF735" s="91"/>
      <c r="AG735" s="262"/>
    </row>
    <row r="736" spans="1:33" s="26" customFormat="1" ht="24" customHeight="1">
      <c r="A736" s="648">
        <f t="shared" si="310"/>
        <v>311</v>
      </c>
      <c r="B736" s="695" t="s">
        <v>711</v>
      </c>
      <c r="C736" s="649">
        <f>D736+F736+G736+H736+I736+K736+L736+M736+O736+P736+Q736+R736+S736+W736+V736+X736+U736</f>
        <v>2794965.35</v>
      </c>
      <c r="D736" s="686">
        <v>398992.2</v>
      </c>
      <c r="E736" s="686"/>
      <c r="F736" s="690"/>
      <c r="G736" s="661">
        <v>372294.39</v>
      </c>
      <c r="H736" s="690">
        <v>952672.21</v>
      </c>
      <c r="I736" s="687"/>
      <c r="J736" s="691"/>
      <c r="K736" s="686"/>
      <c r="L736" s="692"/>
      <c r="M736" s="693"/>
      <c r="N736" s="693"/>
      <c r="O736" s="693"/>
      <c r="P736" s="685"/>
      <c r="Q736" s="686"/>
      <c r="R736" s="690"/>
      <c r="S736" s="687"/>
      <c r="T736" s="688">
        <v>2</v>
      </c>
      <c r="U736" s="662">
        <f>442737.8*2</f>
        <v>885475.6</v>
      </c>
      <c r="V736" s="685">
        <v>141851.96</v>
      </c>
      <c r="W736" s="689">
        <f>30396.85+6641.07*2</f>
        <v>43678.99</v>
      </c>
      <c r="X736" s="660"/>
      <c r="Y736" s="654">
        <f>1896207.61*71%</f>
        <v>1346307.4</v>
      </c>
      <c r="Z736" s="654">
        <f>1896207.61*29%+898757.74</f>
        <v>1448657.95</v>
      </c>
      <c r="AA736" s="660"/>
      <c r="AB736" s="654"/>
      <c r="AC736" s="671"/>
      <c r="AD736" s="648">
        <v>2024</v>
      </c>
      <c r="AE736" s="648">
        <v>2024</v>
      </c>
      <c r="AF736" s="91"/>
      <c r="AG736" s="262"/>
    </row>
    <row r="737" spans="1:33" s="26" customFormat="1" ht="24" customHeight="1">
      <c r="A737" s="231">
        <f t="shared" si="310"/>
        <v>312</v>
      </c>
      <c r="B737" s="311" t="s">
        <v>129</v>
      </c>
      <c r="C737" s="232">
        <f>D737+F737+G737+H737+I737+K737+L737+M737+O737+P737+Q737+R737+S737+W737+V737+X737+U737</f>
        <v>3519753.92</v>
      </c>
      <c r="D737" s="253">
        <v>683497.75</v>
      </c>
      <c r="E737" s="253"/>
      <c r="F737" s="269"/>
      <c r="G737" s="182">
        <v>478389.35</v>
      </c>
      <c r="H737" s="269">
        <v>1030837.9</v>
      </c>
      <c r="I737" s="255"/>
      <c r="J737" s="238"/>
      <c r="K737" s="253"/>
      <c r="L737" s="207"/>
      <c r="M737" s="208"/>
      <c r="N737" s="208"/>
      <c r="O737" s="208"/>
      <c r="P737" s="258"/>
      <c r="Q737" s="253"/>
      <c r="R737" s="269"/>
      <c r="S737" s="255"/>
      <c r="T737" s="366">
        <v>2</v>
      </c>
      <c r="U737" s="234">
        <f>561895.22*2</f>
        <v>1123790.44</v>
      </c>
      <c r="V737" s="258">
        <v>153490.74</v>
      </c>
      <c r="W737" s="367">
        <f>32890.88+8428.43*2</f>
        <v>49747.74</v>
      </c>
      <c r="X737" s="229"/>
      <c r="Y737" s="230">
        <f>2379106.62*71%</f>
        <v>1689165.7</v>
      </c>
      <c r="Z737" s="230">
        <f>2379106.62*29%+1140647.3</f>
        <v>1830588.22</v>
      </c>
      <c r="AA737" s="229"/>
      <c r="AB737" s="230"/>
      <c r="AC737" s="242"/>
      <c r="AD737" s="231">
        <v>2024</v>
      </c>
      <c r="AE737" s="231">
        <v>2024</v>
      </c>
      <c r="AF737" s="91"/>
      <c r="AG737" s="262"/>
    </row>
    <row r="738" spans="1:33" s="26" customFormat="1" ht="24" customHeight="1">
      <c r="A738" s="231">
        <f t="shared" si="310"/>
        <v>313</v>
      </c>
      <c r="B738" s="482" t="s">
        <v>131</v>
      </c>
      <c r="C738" s="453">
        <f t="shared" ref="C738:C740" si="315">D738+F738+G738+H738+I738+K738+L738+M738+O738+P738+Q738+R738+S738+W738+V738+X738</f>
        <v>5686170.4900000002</v>
      </c>
      <c r="D738" s="457">
        <v>1338213.3600000001</v>
      </c>
      <c r="E738" s="457"/>
      <c r="F738" s="465"/>
      <c r="G738" s="483">
        <v>1898854.47</v>
      </c>
      <c r="H738" s="465">
        <v>1963542.11</v>
      </c>
      <c r="I738" s="456"/>
      <c r="J738" s="458"/>
      <c r="K738" s="457"/>
      <c r="L738" s="464"/>
      <c r="M738" s="480"/>
      <c r="N738" s="480"/>
      <c r="O738" s="480"/>
      <c r="P738" s="459"/>
      <c r="Q738" s="457"/>
      <c r="R738" s="465"/>
      <c r="S738" s="456"/>
      <c r="T738" s="479"/>
      <c r="U738" s="473"/>
      <c r="V738" s="459">
        <f>137447.95+262425.45</f>
        <v>399873.4</v>
      </c>
      <c r="W738" s="458">
        <f>29453.13+56234.02</f>
        <v>85687.15</v>
      </c>
      <c r="X738" s="467"/>
      <c r="Y738" s="461">
        <f>C738*71%</f>
        <v>4037181.05</v>
      </c>
      <c r="Z738" s="461">
        <f>C738*29%</f>
        <v>1648989.44</v>
      </c>
      <c r="AA738" s="467"/>
      <c r="AB738" s="461"/>
      <c r="AC738" s="476"/>
      <c r="AD738" s="231">
        <v>2024</v>
      </c>
      <c r="AE738" s="231">
        <v>2024</v>
      </c>
      <c r="AF738" s="91"/>
      <c r="AG738" s="262"/>
    </row>
    <row r="739" spans="1:33" s="26" customFormat="1" ht="24" customHeight="1">
      <c r="A739" s="231">
        <f t="shared" si="310"/>
        <v>314</v>
      </c>
      <c r="B739" s="482" t="s">
        <v>132</v>
      </c>
      <c r="C739" s="453">
        <f t="shared" si="315"/>
        <v>9713803.8000000007</v>
      </c>
      <c r="D739" s="457">
        <v>2339316.44</v>
      </c>
      <c r="E739" s="457"/>
      <c r="F739" s="465"/>
      <c r="G739" s="466">
        <v>3209028.95</v>
      </c>
      <c r="H739" s="465">
        <v>3339612.14</v>
      </c>
      <c r="I739" s="456"/>
      <c r="J739" s="458"/>
      <c r="K739" s="457"/>
      <c r="L739" s="464"/>
      <c r="M739" s="480"/>
      <c r="N739" s="480"/>
      <c r="O739" s="480"/>
      <c r="P739" s="459"/>
      <c r="Q739" s="457"/>
      <c r="R739" s="465"/>
      <c r="S739" s="456"/>
      <c r="T739" s="479"/>
      <c r="U739" s="473"/>
      <c r="V739" s="459">
        <f>233772.85+446335.85</f>
        <v>680108.7</v>
      </c>
      <c r="W739" s="458">
        <f>50094.18+95643.39</f>
        <v>145737.57</v>
      </c>
      <c r="X739" s="467"/>
      <c r="Y739" s="461">
        <f>C739*71%</f>
        <v>6896800.7000000002</v>
      </c>
      <c r="Z739" s="461">
        <f>C739*29%</f>
        <v>2817003.1</v>
      </c>
      <c r="AA739" s="467"/>
      <c r="AB739" s="461"/>
      <c r="AC739" s="476"/>
      <c r="AD739" s="231">
        <v>2024</v>
      </c>
      <c r="AE739" s="231">
        <v>2024</v>
      </c>
      <c r="AF739" s="91"/>
      <c r="AG739" s="262"/>
    </row>
    <row r="740" spans="1:33" s="26" customFormat="1" ht="24" customHeight="1">
      <c r="A740" s="231">
        <f t="shared" si="310"/>
        <v>315</v>
      </c>
      <c r="B740" s="482" t="s">
        <v>133</v>
      </c>
      <c r="C740" s="453">
        <f t="shared" si="315"/>
        <v>9707052.7400000002</v>
      </c>
      <c r="D740" s="457">
        <v>2339316.44</v>
      </c>
      <c r="E740" s="457"/>
      <c r="F740" s="465"/>
      <c r="G740" s="466">
        <v>3209028.95</v>
      </c>
      <c r="H740" s="465">
        <v>3339612.14</v>
      </c>
      <c r="I740" s="456"/>
      <c r="J740" s="458"/>
      <c r="K740" s="457"/>
      <c r="L740" s="464"/>
      <c r="M740" s="480"/>
      <c r="N740" s="480"/>
      <c r="O740" s="480"/>
      <c r="P740" s="459"/>
      <c r="Q740" s="457"/>
      <c r="R740" s="465"/>
      <c r="S740" s="456"/>
      <c r="T740" s="479"/>
      <c r="U740" s="473"/>
      <c r="V740" s="459">
        <f>233772.85+440776.15</f>
        <v>674549</v>
      </c>
      <c r="W740" s="458">
        <f>50094.18+94452.03</f>
        <v>144546.21</v>
      </c>
      <c r="X740" s="467"/>
      <c r="Y740" s="461">
        <f>C740*71%</f>
        <v>6892007.4500000002</v>
      </c>
      <c r="Z740" s="461">
        <f>C740*29%</f>
        <v>2815045.29</v>
      </c>
      <c r="AA740" s="467"/>
      <c r="AB740" s="461"/>
      <c r="AC740" s="476"/>
      <c r="AD740" s="231">
        <v>2024</v>
      </c>
      <c r="AE740" s="231">
        <v>2024</v>
      </c>
      <c r="AF740" s="91"/>
      <c r="AG740" s="262"/>
    </row>
    <row r="741" spans="1:33" s="26" customFormat="1" ht="24" customHeight="1">
      <c r="A741" s="18">
        <f t="shared" si="310"/>
        <v>316</v>
      </c>
      <c r="B741" s="37" t="s">
        <v>311</v>
      </c>
      <c r="C741" s="4">
        <f t="shared" si="308"/>
        <v>14677548.039999999</v>
      </c>
      <c r="D741" s="9"/>
      <c r="E741" s="9"/>
      <c r="F741" s="9"/>
      <c r="G741" s="12"/>
      <c r="H741" s="13"/>
      <c r="I741" s="13"/>
      <c r="J741" s="21"/>
      <c r="K741" s="9"/>
      <c r="L741" s="12">
        <v>5023279.43</v>
      </c>
      <c r="M741" s="22"/>
      <c r="N741" s="22"/>
      <c r="O741" s="22"/>
      <c r="P741" s="3"/>
      <c r="Q741" s="9">
        <v>3029150.18</v>
      </c>
      <c r="R741" s="21"/>
      <c r="S741" s="13">
        <v>5729305.6399999997</v>
      </c>
      <c r="T741" s="13"/>
      <c r="U741" s="13"/>
      <c r="V741" s="3">
        <v>689086.76</v>
      </c>
      <c r="W741" s="24">
        <f>206726.03</f>
        <v>206726.03</v>
      </c>
      <c r="X741" s="21"/>
      <c r="Y741" s="21"/>
      <c r="Z741" s="21"/>
      <c r="AA741" s="21"/>
      <c r="AB741" s="24">
        <f t="shared" si="309"/>
        <v>14677548.039999999</v>
      </c>
      <c r="AC741" s="188"/>
      <c r="AD741" s="188">
        <v>2024</v>
      </c>
      <c r="AE741" s="188">
        <v>2025</v>
      </c>
      <c r="AF741" s="25"/>
      <c r="AG741" s="91"/>
    </row>
    <row r="742" spans="1:33" s="26" customFormat="1" ht="24" customHeight="1">
      <c r="A742" s="18">
        <f t="shared" si="310"/>
        <v>317</v>
      </c>
      <c r="B742" s="37" t="s">
        <v>588</v>
      </c>
      <c r="C742" s="4">
        <f t="shared" si="308"/>
        <v>13544238.68</v>
      </c>
      <c r="D742" s="9"/>
      <c r="E742" s="9"/>
      <c r="F742" s="9"/>
      <c r="G742" s="12"/>
      <c r="H742" s="13">
        <v>5351381.2</v>
      </c>
      <c r="I742" s="13"/>
      <c r="J742" s="21"/>
      <c r="K742" s="9"/>
      <c r="L742" s="12"/>
      <c r="M742" s="22"/>
      <c r="N742" s="22"/>
      <c r="O742" s="22"/>
      <c r="P742" s="3"/>
      <c r="Q742" s="9">
        <v>7366213.7999999998</v>
      </c>
      <c r="R742" s="21"/>
      <c r="S742" s="13"/>
      <c r="T742" s="13"/>
      <c r="U742" s="13"/>
      <c r="V742" s="3">
        <v>635879.75</v>
      </c>
      <c r="W742" s="24">
        <v>190763.93</v>
      </c>
      <c r="X742" s="21"/>
      <c r="Y742" s="21"/>
      <c r="Z742" s="21"/>
      <c r="AA742" s="21"/>
      <c r="AB742" s="24">
        <f t="shared" si="309"/>
        <v>13544238.68</v>
      </c>
      <c r="AC742" s="188"/>
      <c r="AD742" s="188">
        <v>2024</v>
      </c>
      <c r="AE742" s="188">
        <v>2025</v>
      </c>
      <c r="AF742" s="25"/>
      <c r="AG742" s="91"/>
    </row>
    <row r="743" spans="1:33" s="26" customFormat="1" ht="24" customHeight="1">
      <c r="A743" s="18">
        <f t="shared" si="310"/>
        <v>318</v>
      </c>
      <c r="B743" s="37" t="s">
        <v>586</v>
      </c>
      <c r="C743" s="4">
        <f t="shared" si="308"/>
        <v>43172382.659999996</v>
      </c>
      <c r="D743" s="9"/>
      <c r="E743" s="9"/>
      <c r="F743" s="9"/>
      <c r="G743" s="12"/>
      <c r="H743" s="13"/>
      <c r="I743" s="13"/>
      <c r="J743" s="21"/>
      <c r="K743" s="9"/>
      <c r="L743" s="12"/>
      <c r="M743" s="22"/>
      <c r="N743" s="22"/>
      <c r="O743" s="22"/>
      <c r="P743" s="3">
        <v>22268492.539999999</v>
      </c>
      <c r="Q743" s="9">
        <v>2710614.97</v>
      </c>
      <c r="R743" s="24">
        <v>10431509.779999999</v>
      </c>
      <c r="S743" s="13">
        <v>5126831.21</v>
      </c>
      <c r="T743" s="13"/>
      <c r="U743" s="13"/>
      <c r="V743" s="3">
        <v>2026872.43</v>
      </c>
      <c r="W743" s="24">
        <v>608061.73</v>
      </c>
      <c r="X743" s="21"/>
      <c r="Y743" s="21"/>
      <c r="Z743" s="21"/>
      <c r="AA743" s="21"/>
      <c r="AB743" s="24">
        <f t="shared" si="309"/>
        <v>43172382.659999996</v>
      </c>
      <c r="AC743" s="188"/>
      <c r="AD743" s="188">
        <v>2024</v>
      </c>
      <c r="AE743" s="188">
        <v>2025</v>
      </c>
      <c r="AF743" s="25"/>
      <c r="AG743" s="91"/>
    </row>
    <row r="744" spans="1:33" s="26" customFormat="1" ht="24" customHeight="1">
      <c r="A744" s="18">
        <f t="shared" si="310"/>
        <v>319</v>
      </c>
      <c r="B744" s="37" t="s">
        <v>225</v>
      </c>
      <c r="C744" s="4">
        <f t="shared" si="308"/>
        <v>26288160.620000001</v>
      </c>
      <c r="D744" s="9">
        <f>ROUND(2681.5*643.1,2)</f>
        <v>1724472.65</v>
      </c>
      <c r="E744" s="21"/>
      <c r="F744" s="21"/>
      <c r="G744" s="12">
        <f>ROUND(2681.5*650.2,2)</f>
        <v>1743511.3</v>
      </c>
      <c r="H744" s="13">
        <f>ROUND(2681.5*644.55,2)</f>
        <v>1728360.83</v>
      </c>
      <c r="I744" s="13">
        <f>ROUND(2681.5*3349.66,2)</f>
        <v>8982113.2899999991</v>
      </c>
      <c r="J744" s="21"/>
      <c r="K744" s="9"/>
      <c r="L744" s="12">
        <f>ROUND(2681.5*903.99,2)</f>
        <v>2424049.19</v>
      </c>
      <c r="M744" s="22"/>
      <c r="N744" s="22"/>
      <c r="O744" s="22"/>
      <c r="P744" s="3"/>
      <c r="Q744" s="49"/>
      <c r="R744" s="9">
        <f>ROUND(2681.5*3170.13,2)</f>
        <v>8500703.5999999996</v>
      </c>
      <c r="S744" s="21"/>
      <c r="T744" s="21"/>
      <c r="U744" s="21"/>
      <c r="V744" s="3">
        <v>808401.6</v>
      </c>
      <c r="W744" s="24">
        <f t="shared" ref="W744" si="316">ROUND((D744+G744+H744+I744+L744+K744+F744+O744+P744+Q744+R744+S744)*1.5%,2)</f>
        <v>376548.16</v>
      </c>
      <c r="X744" s="21"/>
      <c r="Y744" s="21"/>
      <c r="Z744" s="21"/>
      <c r="AA744" s="21"/>
      <c r="AB744" s="24">
        <f t="shared" si="309"/>
        <v>26288160.620000001</v>
      </c>
      <c r="AC744" s="188"/>
      <c r="AD744" s="188">
        <v>2024</v>
      </c>
      <c r="AE744" s="188">
        <v>2024</v>
      </c>
      <c r="AF744" s="25"/>
      <c r="AG744" s="91"/>
    </row>
    <row r="745" spans="1:33" s="26" customFormat="1" ht="24" customHeight="1">
      <c r="A745" s="18">
        <f t="shared" si="310"/>
        <v>320</v>
      </c>
      <c r="B745" s="37" t="s">
        <v>585</v>
      </c>
      <c r="C745" s="4">
        <f>D745+F745+G745+H745+I745+K745+L745+M745+O745+P745+Q745+R745+S745+W745+V745+X745</f>
        <v>49151133.579999998</v>
      </c>
      <c r="D745" s="9">
        <v>3256500.82</v>
      </c>
      <c r="E745" s="21"/>
      <c r="F745" s="21"/>
      <c r="G745" s="12">
        <v>2538245.9500000002</v>
      </c>
      <c r="H745" s="13">
        <v>5808367.1799999997</v>
      </c>
      <c r="I745" s="13">
        <v>13346971.34</v>
      </c>
      <c r="J745" s="21"/>
      <c r="K745" s="9"/>
      <c r="L745" s="12">
        <v>6169419.2400000002</v>
      </c>
      <c r="M745" s="22"/>
      <c r="N745" s="22"/>
      <c r="O745" s="22"/>
      <c r="P745" s="3"/>
      <c r="Q745" s="49">
        <v>7995258.2199999997</v>
      </c>
      <c r="R745" s="9"/>
      <c r="S745" s="24">
        <v>7036536.3799999999</v>
      </c>
      <c r="T745" s="24"/>
      <c r="U745" s="24"/>
      <c r="V745" s="3">
        <v>2307564.96</v>
      </c>
      <c r="W745" s="24">
        <v>692269.49</v>
      </c>
      <c r="X745" s="21"/>
      <c r="Y745" s="21"/>
      <c r="Z745" s="21"/>
      <c r="AA745" s="21"/>
      <c r="AB745" s="24">
        <f>C745</f>
        <v>49151133.579999998</v>
      </c>
      <c r="AC745" s="188"/>
      <c r="AD745" s="188">
        <v>2024</v>
      </c>
      <c r="AE745" s="188">
        <v>2025</v>
      </c>
      <c r="AF745" s="25"/>
      <c r="AG745" s="91"/>
    </row>
    <row r="746" spans="1:33" s="26" customFormat="1" ht="24" customHeight="1">
      <c r="A746" s="18">
        <f t="shared" si="310"/>
        <v>321</v>
      </c>
      <c r="B746" s="37" t="s">
        <v>587</v>
      </c>
      <c r="C746" s="4">
        <f>D746+F746+G746+H746+I746+K746+L746+M746+O746+P746+Q746+R746+S746+W746+V746+X746</f>
        <v>2788212.33</v>
      </c>
      <c r="D746" s="9"/>
      <c r="E746" s="21"/>
      <c r="F746" s="21"/>
      <c r="G746" s="12"/>
      <c r="H746" s="13"/>
      <c r="I746" s="13"/>
      <c r="J746" s="21"/>
      <c r="K746" s="9"/>
      <c r="L746" s="12"/>
      <c r="M746" s="22"/>
      <c r="N746" s="22"/>
      <c r="O746" s="22"/>
      <c r="P746" s="3"/>
      <c r="Q746" s="49">
        <v>2618039.7400000002</v>
      </c>
      <c r="R746" s="9"/>
      <c r="S746" s="24"/>
      <c r="T746" s="24"/>
      <c r="U746" s="24"/>
      <c r="V746" s="3">
        <v>130901.99</v>
      </c>
      <c r="W746" s="24">
        <v>39270.6</v>
      </c>
      <c r="X746" s="21"/>
      <c r="Y746" s="21"/>
      <c r="Z746" s="21"/>
      <c r="AA746" s="21"/>
      <c r="AB746" s="24">
        <f>C746</f>
        <v>2788212.33</v>
      </c>
      <c r="AC746" s="188"/>
      <c r="AD746" s="188">
        <v>2024</v>
      </c>
      <c r="AE746" s="188">
        <v>2025</v>
      </c>
      <c r="AF746" s="25"/>
      <c r="AG746" s="91"/>
    </row>
    <row r="747" spans="1:33" s="26" customFormat="1" ht="24" customHeight="1">
      <c r="A747" s="231">
        <f t="shared" si="310"/>
        <v>322</v>
      </c>
      <c r="B747" s="482" t="s">
        <v>712</v>
      </c>
      <c r="C747" s="453">
        <f t="shared" ref="C747:C753" si="317">D747+F747+G747+H747+I747+K747+L747+M747+O747+P747+Q747+R747+S747+W747+V747+X747</f>
        <v>16690033.58</v>
      </c>
      <c r="D747" s="457">
        <v>1495555.01</v>
      </c>
      <c r="E747" s="457"/>
      <c r="F747" s="465"/>
      <c r="G747" s="466">
        <v>1284475.02</v>
      </c>
      <c r="H747" s="456">
        <v>1843537.86</v>
      </c>
      <c r="I747" s="456"/>
      <c r="J747" s="458"/>
      <c r="K747" s="457"/>
      <c r="L747" s="464"/>
      <c r="M747" s="480"/>
      <c r="N747" s="480"/>
      <c r="O747" s="480"/>
      <c r="P747" s="459"/>
      <c r="Q747" s="457"/>
      <c r="R747" s="465">
        <v>6755897.8300000001</v>
      </c>
      <c r="S747" s="456">
        <v>4033507.73</v>
      </c>
      <c r="T747" s="461"/>
      <c r="U747" s="461"/>
      <c r="V747" s="459">
        <f>977733.25+74777.75</f>
        <v>1052511</v>
      </c>
      <c r="W747" s="458">
        <v>224549.13</v>
      </c>
      <c r="X747" s="467"/>
      <c r="Y747" s="461">
        <f>C747*71%</f>
        <v>11849923.84</v>
      </c>
      <c r="Z747" s="461">
        <f>C747*29%</f>
        <v>4840109.74</v>
      </c>
      <c r="AA747" s="467"/>
      <c r="AB747" s="461"/>
      <c r="AC747" s="476"/>
      <c r="AD747" s="231">
        <v>2024</v>
      </c>
      <c r="AE747" s="231">
        <v>2024</v>
      </c>
      <c r="AF747" s="91"/>
      <c r="AG747" s="262"/>
    </row>
    <row r="748" spans="1:33" s="26" customFormat="1" ht="24" customHeight="1">
      <c r="A748" s="231">
        <f t="shared" si="310"/>
        <v>323</v>
      </c>
      <c r="B748" s="482" t="s">
        <v>713</v>
      </c>
      <c r="C748" s="453">
        <f t="shared" si="317"/>
        <v>17585452.27</v>
      </c>
      <c r="D748" s="457">
        <v>2031658.36</v>
      </c>
      <c r="E748" s="457"/>
      <c r="F748" s="465"/>
      <c r="G748" s="466">
        <v>1314406.3799999999</v>
      </c>
      <c r="H748" s="456">
        <v>1886496.72</v>
      </c>
      <c r="I748" s="456"/>
      <c r="J748" s="458"/>
      <c r="K748" s="457"/>
      <c r="L748" s="464"/>
      <c r="M748" s="480"/>
      <c r="N748" s="480"/>
      <c r="O748" s="480"/>
      <c r="P748" s="459"/>
      <c r="Q748" s="457"/>
      <c r="R748" s="465">
        <v>6896007.25</v>
      </c>
      <c r="S748" s="456">
        <v>4119611.95</v>
      </c>
      <c r="T748" s="461"/>
      <c r="U748" s="461"/>
      <c r="V748" s="459">
        <f>1000516.8+101582.92</f>
        <v>1102099.72</v>
      </c>
      <c r="W748" s="458">
        <v>235171.89</v>
      </c>
      <c r="X748" s="467"/>
      <c r="Y748" s="461">
        <f>C748*71%</f>
        <v>12485671.109999999</v>
      </c>
      <c r="Z748" s="461">
        <f>C748*29%</f>
        <v>5099781.16</v>
      </c>
      <c r="AA748" s="467"/>
      <c r="AB748" s="461"/>
      <c r="AC748" s="476"/>
      <c r="AD748" s="231">
        <v>2024</v>
      </c>
      <c r="AE748" s="231">
        <v>2024</v>
      </c>
      <c r="AF748" s="91"/>
      <c r="AG748" s="262"/>
    </row>
    <row r="749" spans="1:33" s="26" customFormat="1" ht="24" customHeight="1">
      <c r="A749" s="648">
        <f t="shared" si="310"/>
        <v>324</v>
      </c>
      <c r="B749" s="695" t="s">
        <v>714</v>
      </c>
      <c r="C749" s="649">
        <f t="shared" si="317"/>
        <v>29877177.420000002</v>
      </c>
      <c r="D749" s="686">
        <v>1392782.68</v>
      </c>
      <c r="E749" s="686"/>
      <c r="F749" s="690"/>
      <c r="G749" s="661">
        <v>1310529.52</v>
      </c>
      <c r="H749" s="687">
        <v>1880932.48</v>
      </c>
      <c r="I749" s="687">
        <v>9816378.0700000003</v>
      </c>
      <c r="J749" s="691"/>
      <c r="K749" s="686"/>
      <c r="L749" s="692"/>
      <c r="M749" s="693"/>
      <c r="N749" s="693"/>
      <c r="O749" s="693"/>
      <c r="P749" s="685">
        <v>8989709.9299999997</v>
      </c>
      <c r="Q749" s="686"/>
      <c r="R749" s="690"/>
      <c r="S749" s="687">
        <v>3388325.38</v>
      </c>
      <c r="T749" s="654"/>
      <c r="U749" s="654"/>
      <c r="V749" s="685">
        <v>2551721.8199999998</v>
      </c>
      <c r="W749" s="691">
        <v>546797.54</v>
      </c>
      <c r="X749" s="660"/>
      <c r="Y749" s="654">
        <f t="shared" ref="Y749" si="318">C749*71%</f>
        <v>21212795.969999999</v>
      </c>
      <c r="Z749" s="654">
        <f t="shared" ref="Z749" si="319">C749*29%</f>
        <v>8664381.4499999993</v>
      </c>
      <c r="AA749" s="660"/>
      <c r="AB749" s="654"/>
      <c r="AC749" s="648"/>
      <c r="AD749" s="648">
        <v>2024</v>
      </c>
      <c r="AE749" s="648">
        <v>2024</v>
      </c>
      <c r="AF749" s="91"/>
      <c r="AG749" s="262"/>
    </row>
    <row r="750" spans="1:33" s="26" customFormat="1" ht="24" customHeight="1">
      <c r="A750" s="231">
        <f t="shared" si="310"/>
        <v>325</v>
      </c>
      <c r="B750" s="482" t="s">
        <v>715</v>
      </c>
      <c r="C750" s="453">
        <f t="shared" si="317"/>
        <v>15675228.470000001</v>
      </c>
      <c r="D750" s="457">
        <v>1215072.8500000001</v>
      </c>
      <c r="E750" s="457"/>
      <c r="F750" s="465"/>
      <c r="G750" s="466">
        <v>1222648.49</v>
      </c>
      <c r="H750" s="456">
        <v>1754801.56</v>
      </c>
      <c r="I750" s="456"/>
      <c r="J750" s="458"/>
      <c r="K750" s="457"/>
      <c r="L750" s="464"/>
      <c r="M750" s="480"/>
      <c r="N750" s="480"/>
      <c r="O750" s="480"/>
      <c r="P750" s="459"/>
      <c r="Q750" s="457"/>
      <c r="R750" s="465">
        <v>6432564.9500000002</v>
      </c>
      <c r="S750" s="456">
        <v>3847216.95</v>
      </c>
      <c r="T750" s="461"/>
      <c r="U750" s="461"/>
      <c r="V750" s="459">
        <f>930671.34+60753.64</f>
        <v>991424.98</v>
      </c>
      <c r="W750" s="458">
        <v>211498.69</v>
      </c>
      <c r="X750" s="467"/>
      <c r="Y750" s="461">
        <f>C750*71%</f>
        <v>11129412.210000001</v>
      </c>
      <c r="Z750" s="461">
        <f>C750*29%</f>
        <v>4545816.26</v>
      </c>
      <c r="AA750" s="467"/>
      <c r="AB750" s="461"/>
      <c r="AC750" s="476"/>
      <c r="AD750" s="231">
        <v>2024</v>
      </c>
      <c r="AE750" s="231">
        <v>2024</v>
      </c>
      <c r="AF750" s="91"/>
      <c r="AG750" s="262"/>
    </row>
    <row r="751" spans="1:33" s="26" customFormat="1" ht="24" customHeight="1">
      <c r="A751" s="231">
        <f t="shared" si="310"/>
        <v>326</v>
      </c>
      <c r="B751" s="482" t="s">
        <v>716</v>
      </c>
      <c r="C751" s="453">
        <f t="shared" si="317"/>
        <v>19198781.350000001</v>
      </c>
      <c r="D751" s="457">
        <v>2052239.84</v>
      </c>
      <c r="E751" s="457"/>
      <c r="F751" s="465"/>
      <c r="G751" s="466">
        <v>1411243.12</v>
      </c>
      <c r="H751" s="456">
        <v>2025481.28</v>
      </c>
      <c r="I751" s="456">
        <v>7753584.5199999996</v>
      </c>
      <c r="J751" s="458"/>
      <c r="K751" s="457"/>
      <c r="L751" s="464"/>
      <c r="M751" s="480"/>
      <c r="N751" s="480"/>
      <c r="O751" s="480"/>
      <c r="P751" s="459"/>
      <c r="Q751" s="457"/>
      <c r="R751" s="465"/>
      <c r="S751" s="456">
        <v>4453403.8</v>
      </c>
      <c r="T751" s="461"/>
      <c r="U751" s="461"/>
      <c r="V751" s="459">
        <v>1238716.69</v>
      </c>
      <c r="W751" s="458">
        <v>264112.09999999998</v>
      </c>
      <c r="X751" s="467"/>
      <c r="Y751" s="461">
        <f t="shared" ref="Y751:Y753" si="320">C751*71%</f>
        <v>13631134.76</v>
      </c>
      <c r="Z751" s="461">
        <f t="shared" ref="Z751:Z753" si="321">C751*29%</f>
        <v>5567646.5899999999</v>
      </c>
      <c r="AA751" s="467"/>
      <c r="AB751" s="461"/>
      <c r="AC751" s="476"/>
      <c r="AD751" s="231">
        <v>2024</v>
      </c>
      <c r="AE751" s="231">
        <v>2024</v>
      </c>
      <c r="AF751" s="91"/>
      <c r="AG751" s="262"/>
    </row>
    <row r="752" spans="1:33" s="26" customFormat="1" ht="24" customHeight="1">
      <c r="A752" s="648">
        <f t="shared" si="310"/>
        <v>327</v>
      </c>
      <c r="B752" s="695" t="s">
        <v>717</v>
      </c>
      <c r="C752" s="649">
        <f t="shared" si="317"/>
        <v>20496865.420000002</v>
      </c>
      <c r="D752" s="686">
        <v>1410682.75</v>
      </c>
      <c r="E752" s="686"/>
      <c r="F752" s="690"/>
      <c r="G752" s="661">
        <v>1308238.6299999999</v>
      </c>
      <c r="H752" s="687">
        <v>1877644.47</v>
      </c>
      <c r="I752" s="687">
        <v>9866015.2899999991</v>
      </c>
      <c r="J752" s="691"/>
      <c r="K752" s="686"/>
      <c r="L752" s="692"/>
      <c r="M752" s="693"/>
      <c r="N752" s="693"/>
      <c r="O752" s="693"/>
      <c r="P752" s="685"/>
      <c r="Q752" s="686"/>
      <c r="R752" s="690"/>
      <c r="S752" s="687">
        <v>4128356.61</v>
      </c>
      <c r="T752" s="654"/>
      <c r="U752" s="654"/>
      <c r="V752" s="685">
        <v>1569587.49</v>
      </c>
      <c r="W752" s="691">
        <v>336340.18</v>
      </c>
      <c r="X752" s="660"/>
      <c r="Y752" s="654">
        <f t="shared" si="320"/>
        <v>14552774.449999999</v>
      </c>
      <c r="Z752" s="654">
        <f t="shared" si="321"/>
        <v>5944090.9699999997</v>
      </c>
      <c r="AA752" s="660"/>
      <c r="AB752" s="654"/>
      <c r="AC752" s="648"/>
      <c r="AD752" s="648">
        <v>2024</v>
      </c>
      <c r="AE752" s="648">
        <v>2024</v>
      </c>
      <c r="AF752" s="91"/>
      <c r="AG752" s="262"/>
    </row>
    <row r="753" spans="1:34" s="26" customFormat="1" ht="24" customHeight="1">
      <c r="A753" s="648">
        <f t="shared" si="310"/>
        <v>328</v>
      </c>
      <c r="B753" s="695" t="s">
        <v>718</v>
      </c>
      <c r="C753" s="649">
        <f t="shared" si="317"/>
        <v>19765718.800000001</v>
      </c>
      <c r="D753" s="686">
        <v>1930621.98</v>
      </c>
      <c r="E753" s="686"/>
      <c r="F753" s="690"/>
      <c r="G753" s="661">
        <v>1217137.22</v>
      </c>
      <c r="H753" s="687">
        <v>1902552.24</v>
      </c>
      <c r="I753" s="687">
        <v>13148137.289999999</v>
      </c>
      <c r="J753" s="691"/>
      <c r="K753" s="686"/>
      <c r="L753" s="692"/>
      <c r="M753" s="693"/>
      <c r="N753" s="693"/>
      <c r="O753" s="693"/>
      <c r="P753" s="685"/>
      <c r="Q753" s="686"/>
      <c r="R753" s="690"/>
      <c r="S753" s="687"/>
      <c r="T753" s="654"/>
      <c r="U753" s="654"/>
      <c r="V753" s="685">
        <v>1291832.8600000001</v>
      </c>
      <c r="W753" s="691">
        <v>275437.21000000002</v>
      </c>
      <c r="X753" s="660"/>
      <c r="Y753" s="654">
        <f t="shared" si="320"/>
        <v>14033660.35</v>
      </c>
      <c r="Z753" s="654">
        <f t="shared" si="321"/>
        <v>5732058.4500000002</v>
      </c>
      <c r="AA753" s="660"/>
      <c r="AB753" s="654"/>
      <c r="AC753" s="648"/>
      <c r="AD753" s="648">
        <v>2024</v>
      </c>
      <c r="AE753" s="648">
        <v>2024</v>
      </c>
      <c r="AF753" s="91"/>
      <c r="AG753" s="262"/>
    </row>
    <row r="754" spans="1:34" s="26" customFormat="1" ht="24" customHeight="1">
      <c r="A754" s="231">
        <f t="shared" si="310"/>
        <v>329</v>
      </c>
      <c r="B754" s="311" t="s">
        <v>719</v>
      </c>
      <c r="C754" s="232">
        <f t="shared" ref="C754:C772" si="322">D754+F754+G754+H754+I754+K754+L754+M754+O754+P754+Q754+R754+S754+W754+V754+X754</f>
        <v>49962439.579999998</v>
      </c>
      <c r="D754" s="253">
        <v>1960854.99</v>
      </c>
      <c r="E754" s="253"/>
      <c r="F754" s="269"/>
      <c r="G754" s="182">
        <v>1908496.39</v>
      </c>
      <c r="H754" s="255">
        <v>2739162.14</v>
      </c>
      <c r="I754" s="255"/>
      <c r="J754" s="238"/>
      <c r="K754" s="253"/>
      <c r="L754" s="207"/>
      <c r="M754" s="208"/>
      <c r="N754" s="208"/>
      <c r="O754" s="208"/>
      <c r="P754" s="258">
        <v>12378114.52</v>
      </c>
      <c r="Q754" s="253"/>
      <c r="R754" s="269">
        <v>21469464.690000001</v>
      </c>
      <c r="S754" s="255">
        <v>6022566.1900000004</v>
      </c>
      <c r="T754" s="230"/>
      <c r="U754" s="230"/>
      <c r="V754" s="258">
        <f>2773336.85+98042.75</f>
        <v>2871379.6</v>
      </c>
      <c r="W754" s="238">
        <v>612401.06000000006</v>
      </c>
      <c r="X754" s="229"/>
      <c r="Y754" s="230">
        <f>C754*71%</f>
        <v>35473332.100000001</v>
      </c>
      <c r="Z754" s="230">
        <f>C754*29%</f>
        <v>14489107.48</v>
      </c>
      <c r="AA754" s="229"/>
      <c r="AB754" s="230"/>
      <c r="AC754" s="231"/>
      <c r="AD754" s="231">
        <v>2024</v>
      </c>
      <c r="AE754" s="231">
        <v>2024</v>
      </c>
      <c r="AF754" s="91"/>
      <c r="AG754" s="262"/>
    </row>
    <row r="755" spans="1:34" s="26" customFormat="1" ht="24" customHeight="1">
      <c r="A755" s="231">
        <f t="shared" si="310"/>
        <v>330</v>
      </c>
      <c r="B755" s="311" t="s">
        <v>720</v>
      </c>
      <c r="C755" s="232">
        <f t="shared" si="322"/>
        <v>39659006.329999998</v>
      </c>
      <c r="D755" s="253">
        <v>2784310.42</v>
      </c>
      <c r="E755" s="253"/>
      <c r="F755" s="269"/>
      <c r="G755" s="182">
        <v>1914658.73</v>
      </c>
      <c r="H755" s="255">
        <v>2748006.61</v>
      </c>
      <c r="I755" s="255">
        <v>10519426.52</v>
      </c>
      <c r="J755" s="238"/>
      <c r="K755" s="253"/>
      <c r="L755" s="207"/>
      <c r="M755" s="208"/>
      <c r="N755" s="208"/>
      <c r="O755" s="208"/>
      <c r="P755" s="258">
        <v>12546191.66</v>
      </c>
      <c r="Q755" s="253"/>
      <c r="R755" s="269"/>
      <c r="S755" s="255">
        <v>6042012.4299999997</v>
      </c>
      <c r="T755" s="230"/>
      <c r="U755" s="230"/>
      <c r="V755" s="258">
        <v>2558822.4500000002</v>
      </c>
      <c r="W755" s="238">
        <v>545577.51</v>
      </c>
      <c r="X755" s="229"/>
      <c r="Y755" s="230">
        <f t="shared" ref="Y755" si="323">C755*71%</f>
        <v>28157894.489999998</v>
      </c>
      <c r="Z755" s="230">
        <f t="shared" ref="Z755" si="324">C755*29%</f>
        <v>11501111.84</v>
      </c>
      <c r="AA755" s="229"/>
      <c r="AB755" s="230"/>
      <c r="AC755" s="231"/>
      <c r="AD755" s="231">
        <v>2024</v>
      </c>
      <c r="AE755" s="231">
        <v>2024</v>
      </c>
      <c r="AF755" s="91"/>
      <c r="AG755" s="262"/>
    </row>
    <row r="756" spans="1:34" s="26" customFormat="1" ht="24" customHeight="1">
      <c r="A756" s="231">
        <f t="shared" si="310"/>
        <v>331</v>
      </c>
      <c r="B756" s="311" t="s">
        <v>721</v>
      </c>
      <c r="C756" s="232">
        <f t="shared" si="322"/>
        <v>47186421.159999996</v>
      </c>
      <c r="D756" s="253">
        <v>2624845.7799999998</v>
      </c>
      <c r="E756" s="253"/>
      <c r="F756" s="269"/>
      <c r="G756" s="182">
        <v>2302276.56</v>
      </c>
      <c r="H756" s="255">
        <v>3304333.62</v>
      </c>
      <c r="I756" s="255"/>
      <c r="J756" s="238"/>
      <c r="K756" s="253"/>
      <c r="L756" s="207"/>
      <c r="M756" s="208"/>
      <c r="N756" s="208"/>
      <c r="O756" s="208"/>
      <c r="P756" s="258"/>
      <c r="Q756" s="253"/>
      <c r="R756" s="269">
        <v>28739521.260000002</v>
      </c>
      <c r="S756" s="255">
        <v>7265202.6100000003</v>
      </c>
      <c r="T756" s="230"/>
      <c r="U756" s="230"/>
      <c r="V756" s="258">
        <f>2300313.17+131242.29</f>
        <v>2431555.46</v>
      </c>
      <c r="W756" s="238">
        <v>518685.87</v>
      </c>
      <c r="X756" s="229"/>
      <c r="Y756" s="230">
        <f>C756*71%</f>
        <v>33502359.02</v>
      </c>
      <c r="Z756" s="230">
        <f>C756*29%</f>
        <v>13684062.140000001</v>
      </c>
      <c r="AA756" s="229"/>
      <c r="AB756" s="230"/>
      <c r="AC756" s="231"/>
      <c r="AD756" s="231">
        <v>2024</v>
      </c>
      <c r="AE756" s="231">
        <v>2024</v>
      </c>
      <c r="AF756" s="91"/>
      <c r="AG756" s="262"/>
    </row>
    <row r="757" spans="1:34" s="26" customFormat="1" ht="24" customHeight="1">
      <c r="A757" s="648">
        <f t="shared" si="310"/>
        <v>332</v>
      </c>
      <c r="B757" s="695" t="s">
        <v>722</v>
      </c>
      <c r="C757" s="649">
        <f t="shared" si="322"/>
        <v>34799579.159999996</v>
      </c>
      <c r="D757" s="686">
        <v>3723573.52</v>
      </c>
      <c r="E757" s="686"/>
      <c r="F757" s="690"/>
      <c r="G757" s="661">
        <v>2560552.34</v>
      </c>
      <c r="H757" s="687">
        <v>3675022.93</v>
      </c>
      <c r="I757" s="687">
        <v>14031064.23</v>
      </c>
      <c r="J757" s="691"/>
      <c r="K757" s="686"/>
      <c r="L757" s="692"/>
      <c r="M757" s="693"/>
      <c r="N757" s="693"/>
      <c r="O757" s="693"/>
      <c r="P757" s="685"/>
      <c r="Q757" s="686"/>
      <c r="R757" s="690"/>
      <c r="S757" s="687">
        <v>8080233.2000000002</v>
      </c>
      <c r="T757" s="654"/>
      <c r="U757" s="654"/>
      <c r="V757" s="685">
        <v>2247521.25</v>
      </c>
      <c r="W757" s="691">
        <v>481611.69</v>
      </c>
      <c r="X757" s="660"/>
      <c r="Y757" s="654">
        <f t="shared" ref="Y757:Y759" si="325">C757*71%</f>
        <v>24707701.199999999</v>
      </c>
      <c r="Z757" s="654">
        <f t="shared" ref="Z757:Z759" si="326">C757*29%</f>
        <v>10091877.960000001</v>
      </c>
      <c r="AA757" s="660"/>
      <c r="AB757" s="654"/>
      <c r="AC757" s="648"/>
      <c r="AD757" s="648">
        <v>2024</v>
      </c>
      <c r="AE757" s="648">
        <v>2024</v>
      </c>
      <c r="AF757" s="91"/>
      <c r="AG757" s="262"/>
    </row>
    <row r="758" spans="1:34" s="26" customFormat="1" ht="24" customHeight="1">
      <c r="A758" s="648">
        <f t="shared" si="310"/>
        <v>333</v>
      </c>
      <c r="B758" s="695" t="s">
        <v>723</v>
      </c>
      <c r="C758" s="649">
        <f t="shared" si="322"/>
        <v>54285432.140000001</v>
      </c>
      <c r="D758" s="686">
        <v>3831747.45</v>
      </c>
      <c r="E758" s="686"/>
      <c r="F758" s="690"/>
      <c r="G758" s="661">
        <v>2634939.21</v>
      </c>
      <c r="H758" s="687">
        <v>3781786.4</v>
      </c>
      <c r="I758" s="687">
        <v>14476757.1</v>
      </c>
      <c r="J758" s="691"/>
      <c r="K758" s="686"/>
      <c r="L758" s="692"/>
      <c r="M758" s="693"/>
      <c r="N758" s="693"/>
      <c r="O758" s="693"/>
      <c r="P758" s="685">
        <v>16997708.390000001</v>
      </c>
      <c r="Q758" s="686"/>
      <c r="R758" s="690"/>
      <c r="S758" s="687">
        <v>8286468.3499999996</v>
      </c>
      <c r="T758" s="654"/>
      <c r="U758" s="654"/>
      <c r="V758" s="685">
        <v>3521432.55</v>
      </c>
      <c r="W758" s="691">
        <v>754592.69</v>
      </c>
      <c r="X758" s="660"/>
      <c r="Y758" s="654">
        <f t="shared" si="325"/>
        <v>38542656.82</v>
      </c>
      <c r="Z758" s="654">
        <f t="shared" si="326"/>
        <v>15742775.32</v>
      </c>
      <c r="AA758" s="660"/>
      <c r="AB758" s="654"/>
      <c r="AC758" s="648"/>
      <c r="AD758" s="648">
        <v>2024</v>
      </c>
      <c r="AE758" s="648">
        <v>2024</v>
      </c>
      <c r="AF758" s="91"/>
      <c r="AG758" s="262"/>
    </row>
    <row r="759" spans="1:34" s="26" customFormat="1" ht="24" customHeight="1">
      <c r="A759" s="648">
        <f t="shared" si="310"/>
        <v>334</v>
      </c>
      <c r="B759" s="695" t="s">
        <v>724</v>
      </c>
      <c r="C759" s="649">
        <f t="shared" si="322"/>
        <v>51781077.380000003</v>
      </c>
      <c r="D759" s="686">
        <v>3637641.89</v>
      </c>
      <c r="E759" s="686"/>
      <c r="F759" s="690"/>
      <c r="G759" s="661">
        <v>2501460.6</v>
      </c>
      <c r="H759" s="687">
        <v>3590211.73</v>
      </c>
      <c r="I759" s="687">
        <v>13707259.09</v>
      </c>
      <c r="J759" s="691"/>
      <c r="K759" s="686"/>
      <c r="L759" s="692"/>
      <c r="M759" s="693"/>
      <c r="N759" s="693"/>
      <c r="O759" s="693"/>
      <c r="P759" s="685">
        <v>16391330.5</v>
      </c>
      <c r="Q759" s="686"/>
      <c r="R759" s="690"/>
      <c r="S759" s="687">
        <v>7893759.7400000002</v>
      </c>
      <c r="T759" s="654"/>
      <c r="U759" s="654"/>
      <c r="V759" s="685">
        <v>3343046.69</v>
      </c>
      <c r="W759" s="691">
        <v>716367.14</v>
      </c>
      <c r="X759" s="660"/>
      <c r="Y759" s="654">
        <f t="shared" si="325"/>
        <v>36764564.939999998</v>
      </c>
      <c r="Z759" s="654">
        <f t="shared" si="326"/>
        <v>15016512.439999999</v>
      </c>
      <c r="AA759" s="660"/>
      <c r="AB759" s="654"/>
      <c r="AC759" s="648"/>
      <c r="AD759" s="648">
        <v>2024</v>
      </c>
      <c r="AE759" s="648">
        <v>2024</v>
      </c>
      <c r="AF759" s="91"/>
      <c r="AG759" s="262"/>
    </row>
    <row r="760" spans="1:34" s="26" customFormat="1" ht="21.75" customHeight="1">
      <c r="A760" s="648">
        <f t="shared" si="310"/>
        <v>335</v>
      </c>
      <c r="B760" s="695" t="s">
        <v>725</v>
      </c>
      <c r="C760" s="649">
        <f t="shared" si="322"/>
        <v>34165055.82</v>
      </c>
      <c r="D760" s="686">
        <v>3653025.32</v>
      </c>
      <c r="E760" s="686"/>
      <c r="F760" s="690"/>
      <c r="G760" s="661">
        <v>2512039.17</v>
      </c>
      <c r="H760" s="687">
        <v>3593897.87</v>
      </c>
      <c r="I760" s="687">
        <v>13801525.539999999</v>
      </c>
      <c r="J760" s="691"/>
      <c r="K760" s="686"/>
      <c r="L760" s="692"/>
      <c r="M760" s="693"/>
      <c r="N760" s="693"/>
      <c r="O760" s="693"/>
      <c r="P760" s="685"/>
      <c r="Q760" s="686"/>
      <c r="R760" s="690"/>
      <c r="S760" s="687">
        <v>7927142.0999999996</v>
      </c>
      <c r="T760" s="654"/>
      <c r="U760" s="654"/>
      <c r="V760" s="685">
        <v>2204938.87</v>
      </c>
      <c r="W760" s="691">
        <v>472486.95</v>
      </c>
      <c r="X760" s="660"/>
      <c r="Y760" s="654">
        <f>C760*71%</f>
        <v>24257189.629999999</v>
      </c>
      <c r="Z760" s="654">
        <f>C760*29%</f>
        <v>9907866.1899999995</v>
      </c>
      <c r="AA760" s="660"/>
      <c r="AB760" s="654"/>
      <c r="AC760" s="648"/>
      <c r="AD760" s="648">
        <v>2024</v>
      </c>
      <c r="AE760" s="648">
        <v>2024</v>
      </c>
      <c r="AF760" s="91"/>
      <c r="AG760" s="262"/>
    </row>
    <row r="761" spans="1:34" s="26" customFormat="1" ht="24" customHeight="1">
      <c r="A761" s="231">
        <f t="shared" si="310"/>
        <v>336</v>
      </c>
      <c r="B761" s="482" t="s">
        <v>726</v>
      </c>
      <c r="C761" s="453">
        <f t="shared" si="322"/>
        <v>50052514.649999999</v>
      </c>
      <c r="D761" s="457">
        <v>2255279.0499999998</v>
      </c>
      <c r="E761" s="457"/>
      <c r="F761" s="465"/>
      <c r="G761" s="466">
        <v>2491097.5699999998</v>
      </c>
      <c r="H761" s="456"/>
      <c r="I761" s="456">
        <v>11278957.779999999</v>
      </c>
      <c r="J761" s="859">
        <v>1</v>
      </c>
      <c r="K761" s="457">
        <v>2687616.22</v>
      </c>
      <c r="L761" s="464"/>
      <c r="M761" s="480"/>
      <c r="N761" s="480"/>
      <c r="O761" s="480"/>
      <c r="P761" s="459">
        <v>11766140.970000001</v>
      </c>
      <c r="Q761" s="457"/>
      <c r="R761" s="465">
        <v>11354474.23</v>
      </c>
      <c r="S761" s="456">
        <v>4074042.85</v>
      </c>
      <c r="T761" s="461"/>
      <c r="U761" s="461"/>
      <c r="V761" s="459">
        <v>3401100.13</v>
      </c>
      <c r="W761" s="458">
        <v>743805.85</v>
      </c>
      <c r="X761" s="467"/>
      <c r="Y761" s="461">
        <f>C761*72.41%</f>
        <v>36243025.859999999</v>
      </c>
      <c r="Z761" s="461">
        <f>C761*27.59%</f>
        <v>13809488.789999999</v>
      </c>
      <c r="AA761" s="467"/>
      <c r="AB761" s="461"/>
      <c r="AC761" s="476"/>
      <c r="AD761" s="231">
        <v>2024</v>
      </c>
      <c r="AE761" s="231">
        <v>2024</v>
      </c>
      <c r="AF761" s="91"/>
      <c r="AG761" s="262"/>
    </row>
    <row r="762" spans="1:34" s="26" customFormat="1" ht="24" customHeight="1">
      <c r="A762" s="648">
        <f t="shared" si="310"/>
        <v>337</v>
      </c>
      <c r="B762" s="695" t="s">
        <v>727</v>
      </c>
      <c r="C762" s="649">
        <f t="shared" si="322"/>
        <v>55818716.299999997</v>
      </c>
      <c r="D762" s="686">
        <v>2258352.37</v>
      </c>
      <c r="E762" s="686"/>
      <c r="F762" s="690"/>
      <c r="G762" s="661">
        <v>3023363.98</v>
      </c>
      <c r="H762" s="687">
        <v>2766351.59</v>
      </c>
      <c r="I762" s="687">
        <v>11441019.5</v>
      </c>
      <c r="J762" s="860">
        <v>1</v>
      </c>
      <c r="K762" s="686">
        <v>2771340</v>
      </c>
      <c r="L762" s="692"/>
      <c r="M762" s="693"/>
      <c r="N762" s="693"/>
      <c r="O762" s="693"/>
      <c r="P762" s="685"/>
      <c r="Q762" s="686"/>
      <c r="R762" s="690">
        <v>24726773.07</v>
      </c>
      <c r="S762" s="687">
        <v>5571027.3200000003</v>
      </c>
      <c r="T762" s="654"/>
      <c r="U762" s="654"/>
      <c r="V762" s="685">
        <f>2530142.74+138317.58</f>
        <v>2668460.3199999998</v>
      </c>
      <c r="W762" s="691">
        <v>592028.15</v>
      </c>
      <c r="X762" s="660"/>
      <c r="Y762" s="654">
        <f>C762*72.41%</f>
        <v>40418332.469999999</v>
      </c>
      <c r="Z762" s="654">
        <f>C762*27.59%</f>
        <v>15400383.83</v>
      </c>
      <c r="AA762" s="660"/>
      <c r="AB762" s="654"/>
      <c r="AC762" s="648"/>
      <c r="AD762" s="648">
        <v>2024</v>
      </c>
      <c r="AE762" s="648">
        <v>2024</v>
      </c>
      <c r="AF762" s="91"/>
      <c r="AG762" s="262"/>
    </row>
    <row r="763" spans="1:34" s="26" customFormat="1" ht="24" customHeight="1">
      <c r="A763" s="231">
        <f t="shared" si="310"/>
        <v>338</v>
      </c>
      <c r="B763" s="482" t="s">
        <v>728</v>
      </c>
      <c r="C763" s="453">
        <f t="shared" si="322"/>
        <v>50620958.630000003</v>
      </c>
      <c r="D763" s="457">
        <v>1480056.62</v>
      </c>
      <c r="E763" s="457"/>
      <c r="F763" s="465"/>
      <c r="G763" s="466">
        <v>1333826.8700000001</v>
      </c>
      <c r="H763" s="456"/>
      <c r="I763" s="456">
        <v>13267347.66</v>
      </c>
      <c r="J763" s="859">
        <v>1</v>
      </c>
      <c r="K763" s="457">
        <v>2684999.95</v>
      </c>
      <c r="L763" s="464"/>
      <c r="M763" s="480"/>
      <c r="N763" s="480"/>
      <c r="O763" s="480"/>
      <c r="P763" s="459"/>
      <c r="Q763" s="457"/>
      <c r="R763" s="465">
        <v>24566157.170000002</v>
      </c>
      <c r="S763" s="456">
        <v>3734857.86</v>
      </c>
      <c r="T763" s="461"/>
      <c r="U763" s="461"/>
      <c r="V763" s="459">
        <v>2914234.92</v>
      </c>
      <c r="W763" s="458">
        <v>639477.57999999996</v>
      </c>
      <c r="X763" s="467"/>
      <c r="Y763" s="461">
        <f>C763*72.41%</f>
        <v>36654636.140000001</v>
      </c>
      <c r="Z763" s="461">
        <f>C763*27.59%</f>
        <v>13966322.49</v>
      </c>
      <c r="AA763" s="467"/>
      <c r="AB763" s="461"/>
      <c r="AC763" s="476"/>
      <c r="AD763" s="231">
        <v>2024</v>
      </c>
      <c r="AE763" s="231">
        <v>2024</v>
      </c>
      <c r="AF763" s="91"/>
      <c r="AG763" s="262"/>
    </row>
    <row r="764" spans="1:34" s="26" customFormat="1" ht="24" customHeight="1">
      <c r="A764" s="648">
        <f t="shared" si="310"/>
        <v>339</v>
      </c>
      <c r="B764" s="695" t="s">
        <v>729</v>
      </c>
      <c r="C764" s="649">
        <f t="shared" si="322"/>
        <v>63693192.590000004</v>
      </c>
      <c r="D764" s="686">
        <v>2618699.14</v>
      </c>
      <c r="E764" s="686"/>
      <c r="F764" s="690"/>
      <c r="G764" s="661">
        <v>3505777.38</v>
      </c>
      <c r="H764" s="687">
        <v>3207755.63</v>
      </c>
      <c r="I764" s="687">
        <v>13266569.17</v>
      </c>
      <c r="J764" s="860">
        <v>1</v>
      </c>
      <c r="K764" s="686">
        <v>2771340</v>
      </c>
      <c r="L764" s="692"/>
      <c r="M764" s="693"/>
      <c r="N764" s="693"/>
      <c r="O764" s="693"/>
      <c r="P764" s="685"/>
      <c r="Q764" s="686"/>
      <c r="R764" s="690">
        <v>28672221.5</v>
      </c>
      <c r="S764" s="687">
        <v>5824656.8499999996</v>
      </c>
      <c r="T764" s="654"/>
      <c r="U764" s="654"/>
      <c r="V764" s="685">
        <v>3138614.08</v>
      </c>
      <c r="W764" s="691">
        <v>687558.84</v>
      </c>
      <c r="X764" s="660"/>
      <c r="Y764" s="654">
        <f>C764*72.41%</f>
        <v>46120240.75</v>
      </c>
      <c r="Z764" s="654">
        <f>C764*27.59%</f>
        <v>17572951.84</v>
      </c>
      <c r="AA764" s="660"/>
      <c r="AB764" s="654"/>
      <c r="AC764" s="648"/>
      <c r="AD764" s="648">
        <v>2024</v>
      </c>
      <c r="AE764" s="648">
        <v>2024</v>
      </c>
      <c r="AF764" s="91"/>
      <c r="AG764" s="262"/>
    </row>
    <row r="765" spans="1:34" s="26" customFormat="1" ht="24" customHeight="1">
      <c r="A765" s="231">
        <f t="shared" si="310"/>
        <v>340</v>
      </c>
      <c r="B765" s="482" t="s">
        <v>730</v>
      </c>
      <c r="C765" s="453">
        <f t="shared" si="322"/>
        <v>52656036.43</v>
      </c>
      <c r="D765" s="465">
        <v>2651862.5699999998</v>
      </c>
      <c r="E765" s="457"/>
      <c r="F765" s="465"/>
      <c r="G765" s="466">
        <v>3496866.32</v>
      </c>
      <c r="H765" s="456">
        <v>3331329.94</v>
      </c>
      <c r="I765" s="456">
        <v>14166888.23</v>
      </c>
      <c r="J765" s="458"/>
      <c r="K765" s="457"/>
      <c r="L765" s="464"/>
      <c r="M765" s="480"/>
      <c r="N765" s="480"/>
      <c r="O765" s="480"/>
      <c r="P765" s="459"/>
      <c r="Q765" s="457"/>
      <c r="R765" s="465">
        <v>25714285.719999999</v>
      </c>
      <c r="S765" s="456"/>
      <c r="T765" s="461"/>
      <c r="U765" s="461"/>
      <c r="V765" s="459">
        <v>2891719.7</v>
      </c>
      <c r="W765" s="458">
        <v>403083.95</v>
      </c>
      <c r="X765" s="467"/>
      <c r="Y765" s="461">
        <f>25571071.36*74.26%+27084965.07*69%</f>
        <v>37677703.490000002</v>
      </c>
      <c r="Z765" s="461">
        <f>25571071.36*25.74%+27084965.07*31%</f>
        <v>14978332.939999999</v>
      </c>
      <c r="AA765" s="467"/>
      <c r="AB765" s="461"/>
      <c r="AC765" s="476"/>
      <c r="AD765" s="231">
        <v>2024</v>
      </c>
      <c r="AE765" s="231">
        <v>2025</v>
      </c>
      <c r="AF765" s="91"/>
      <c r="AG765" s="262"/>
      <c r="AH765" s="262"/>
    </row>
    <row r="766" spans="1:34" s="26" customFormat="1" ht="24" customHeight="1">
      <c r="A766" s="231">
        <f t="shared" si="310"/>
        <v>341</v>
      </c>
      <c r="B766" s="482" t="s">
        <v>392</v>
      </c>
      <c r="C766" s="453">
        <f t="shared" si="322"/>
        <v>45765855.420000002</v>
      </c>
      <c r="D766" s="465">
        <v>3407772.32</v>
      </c>
      <c r="E766" s="457"/>
      <c r="F766" s="465"/>
      <c r="G766" s="466">
        <v>2343388.5</v>
      </c>
      <c r="H766" s="456">
        <v>3380240.57</v>
      </c>
      <c r="I766" s="456">
        <v>12874933.119999999</v>
      </c>
      <c r="J766" s="458"/>
      <c r="K766" s="457"/>
      <c r="L766" s="464"/>
      <c r="M766" s="480"/>
      <c r="N766" s="480"/>
      <c r="O766" s="480"/>
      <c r="P766" s="459"/>
      <c r="Q766" s="457"/>
      <c r="R766" s="465">
        <v>20346763.579999998</v>
      </c>
      <c r="S766" s="456"/>
      <c r="T766" s="461"/>
      <c r="U766" s="461"/>
      <c r="V766" s="459">
        <v>2884615.81</v>
      </c>
      <c r="W766" s="458">
        <v>528141.52</v>
      </c>
      <c r="X766" s="467"/>
      <c r="Y766" s="461">
        <f t="shared" ref="Y766:Y772" si="327">C766*74.26%</f>
        <v>33985724.229999997</v>
      </c>
      <c r="Z766" s="461">
        <f t="shared" ref="Z766:Z772" si="328">C766*25.74%</f>
        <v>11780131.189999999</v>
      </c>
      <c r="AA766" s="467"/>
      <c r="AB766" s="461"/>
      <c r="AC766" s="476"/>
      <c r="AD766" s="231">
        <v>2024</v>
      </c>
      <c r="AE766" s="231">
        <v>2024</v>
      </c>
      <c r="AF766" s="91"/>
      <c r="AG766" s="262"/>
    </row>
    <row r="767" spans="1:34" s="26" customFormat="1" ht="24" customHeight="1">
      <c r="A767" s="231">
        <f t="shared" si="310"/>
        <v>342</v>
      </c>
      <c r="B767" s="482" t="s">
        <v>393</v>
      </c>
      <c r="C767" s="453">
        <f t="shared" si="322"/>
        <v>55585622.079999998</v>
      </c>
      <c r="D767" s="465">
        <v>2687482.35</v>
      </c>
      <c r="E767" s="457"/>
      <c r="F767" s="465"/>
      <c r="G767" s="466">
        <v>3597860.74</v>
      </c>
      <c r="H767" s="456">
        <v>3308553.86</v>
      </c>
      <c r="I767" s="456">
        <v>13615031.18</v>
      </c>
      <c r="J767" s="458"/>
      <c r="K767" s="457"/>
      <c r="L767" s="464"/>
      <c r="M767" s="480"/>
      <c r="N767" s="480"/>
      <c r="O767" s="480"/>
      <c r="P767" s="459"/>
      <c r="Q767" s="457"/>
      <c r="R767" s="465">
        <v>29425331.050000001</v>
      </c>
      <c r="S767" s="456"/>
      <c r="T767" s="461"/>
      <c r="U767" s="461"/>
      <c r="V767" s="459">
        <v>2496673.73</v>
      </c>
      <c r="W767" s="458">
        <v>454689.17</v>
      </c>
      <c r="X767" s="467"/>
      <c r="Y767" s="461">
        <f t="shared" si="327"/>
        <v>41277882.960000001</v>
      </c>
      <c r="Z767" s="461">
        <f t="shared" si="328"/>
        <v>14307739.119999999</v>
      </c>
      <c r="AA767" s="467"/>
      <c r="AB767" s="461"/>
      <c r="AC767" s="476"/>
      <c r="AD767" s="231">
        <v>2024</v>
      </c>
      <c r="AE767" s="231">
        <v>2024</v>
      </c>
      <c r="AF767" s="91"/>
      <c r="AG767" s="262"/>
    </row>
    <row r="768" spans="1:34" s="26" customFormat="1" ht="24" customHeight="1">
      <c r="A768" s="231">
        <f t="shared" si="310"/>
        <v>343</v>
      </c>
      <c r="B768" s="482" t="s">
        <v>394</v>
      </c>
      <c r="C768" s="453">
        <f t="shared" si="322"/>
        <v>56396072.109999999</v>
      </c>
      <c r="D768" s="465">
        <v>2726777.04</v>
      </c>
      <c r="E768" s="457"/>
      <c r="F768" s="465"/>
      <c r="G768" s="466">
        <v>3650466.43</v>
      </c>
      <c r="H768" s="456">
        <v>3356929.49</v>
      </c>
      <c r="I768" s="456">
        <v>13814101.720000001</v>
      </c>
      <c r="J768" s="458"/>
      <c r="K768" s="457"/>
      <c r="L768" s="464"/>
      <c r="M768" s="480"/>
      <c r="N768" s="480"/>
      <c r="O768" s="480"/>
      <c r="P768" s="459"/>
      <c r="Q768" s="457"/>
      <c r="R768" s="465">
        <v>29855570.010000002</v>
      </c>
      <c r="S768" s="456"/>
      <c r="T768" s="461"/>
      <c r="U768" s="461"/>
      <c r="V768" s="459">
        <v>2530890.08</v>
      </c>
      <c r="W768" s="458">
        <v>461337.34</v>
      </c>
      <c r="X768" s="467"/>
      <c r="Y768" s="461">
        <f t="shared" si="327"/>
        <v>41879723.149999999</v>
      </c>
      <c r="Z768" s="461">
        <f t="shared" si="328"/>
        <v>14516348.960000001</v>
      </c>
      <c r="AA768" s="467"/>
      <c r="AB768" s="461"/>
      <c r="AC768" s="476"/>
      <c r="AD768" s="231">
        <v>2024</v>
      </c>
      <c r="AE768" s="231">
        <v>2024</v>
      </c>
      <c r="AF768" s="91"/>
      <c r="AG768" s="262"/>
    </row>
    <row r="769" spans="1:34" s="26" customFormat="1" ht="24" customHeight="1">
      <c r="A769" s="231">
        <f t="shared" si="310"/>
        <v>344</v>
      </c>
      <c r="B769" s="482" t="s">
        <v>395</v>
      </c>
      <c r="C769" s="453">
        <f t="shared" si="322"/>
        <v>64179911.100000001</v>
      </c>
      <c r="D769" s="465">
        <v>2949347.03</v>
      </c>
      <c r="E769" s="457"/>
      <c r="F769" s="465"/>
      <c r="G769" s="466">
        <v>3779304.52</v>
      </c>
      <c r="H769" s="456">
        <v>3804719.76</v>
      </c>
      <c r="I769" s="456">
        <v>13866003.390000001</v>
      </c>
      <c r="J769" s="458"/>
      <c r="K769" s="457"/>
      <c r="L769" s="464"/>
      <c r="M769" s="480"/>
      <c r="N769" s="480"/>
      <c r="O769" s="480"/>
      <c r="P769" s="459"/>
      <c r="Q769" s="457"/>
      <c r="R769" s="465">
        <v>26985005.66</v>
      </c>
      <c r="S769" s="456">
        <v>7685561.4299999997</v>
      </c>
      <c r="T769" s="461"/>
      <c r="U769" s="461"/>
      <c r="V769" s="459">
        <v>4386685.9400000004</v>
      </c>
      <c r="W769" s="458">
        <v>723283.37</v>
      </c>
      <c r="X769" s="467"/>
      <c r="Y769" s="461">
        <f t="shared" si="327"/>
        <v>47660001.979999997</v>
      </c>
      <c r="Z769" s="461">
        <f t="shared" si="328"/>
        <v>16519909.119999999</v>
      </c>
      <c r="AA769" s="467"/>
      <c r="AB769" s="461"/>
      <c r="AC769" s="476"/>
      <c r="AD769" s="231">
        <v>2024</v>
      </c>
      <c r="AE769" s="231">
        <v>2024</v>
      </c>
      <c r="AF769" s="91"/>
      <c r="AG769" s="262"/>
    </row>
    <row r="770" spans="1:34" s="26" customFormat="1" ht="24" customHeight="1">
      <c r="A770" s="648">
        <f t="shared" si="310"/>
        <v>345</v>
      </c>
      <c r="B770" s="695" t="s">
        <v>396</v>
      </c>
      <c r="C770" s="649">
        <f t="shared" si="322"/>
        <v>59646097.530000001</v>
      </c>
      <c r="D770" s="690">
        <v>3099923.81</v>
      </c>
      <c r="E770" s="686"/>
      <c r="F770" s="690"/>
      <c r="G770" s="661">
        <v>4150015.8</v>
      </c>
      <c r="H770" s="687">
        <v>3370105.73</v>
      </c>
      <c r="I770" s="690">
        <v>15704497.34</v>
      </c>
      <c r="J770" s="691"/>
      <c r="K770" s="686"/>
      <c r="L770" s="692"/>
      <c r="M770" s="693"/>
      <c r="N770" s="693"/>
      <c r="O770" s="693"/>
      <c r="P770" s="685"/>
      <c r="Q770" s="686"/>
      <c r="R770" s="690">
        <v>29943965.170000002</v>
      </c>
      <c r="S770" s="687"/>
      <c r="T770" s="654"/>
      <c r="U770" s="654"/>
      <c r="V770" s="685">
        <v>2855812.17</v>
      </c>
      <c r="W770" s="691">
        <v>521777.51</v>
      </c>
      <c r="X770" s="660"/>
      <c r="Y770" s="654">
        <f t="shared" si="327"/>
        <v>44293192.030000001</v>
      </c>
      <c r="Z770" s="654">
        <f t="shared" si="328"/>
        <v>15352905.5</v>
      </c>
      <c r="AA770" s="660"/>
      <c r="AB770" s="654"/>
      <c r="AC770" s="648"/>
      <c r="AD770" s="648">
        <v>2024</v>
      </c>
      <c r="AE770" s="648">
        <v>2024</v>
      </c>
      <c r="AF770" s="91"/>
      <c r="AG770" s="262"/>
    </row>
    <row r="771" spans="1:34" s="26" customFormat="1" ht="24" customHeight="1">
      <c r="A771" s="231">
        <f t="shared" si="310"/>
        <v>346</v>
      </c>
      <c r="B771" s="482" t="s">
        <v>731</v>
      </c>
      <c r="C771" s="453">
        <f t="shared" si="322"/>
        <v>62891125.009999998</v>
      </c>
      <c r="D771" s="465">
        <v>2869165.57</v>
      </c>
      <c r="E771" s="457"/>
      <c r="F771" s="465"/>
      <c r="G771" s="466">
        <v>3585172.98</v>
      </c>
      <c r="H771" s="456">
        <v>3707511.59</v>
      </c>
      <c r="I771" s="465">
        <v>15333449.5</v>
      </c>
      <c r="J771" s="458"/>
      <c r="K771" s="457"/>
      <c r="L771" s="464"/>
      <c r="M771" s="480"/>
      <c r="N771" s="480"/>
      <c r="O771" s="480"/>
      <c r="P771" s="459"/>
      <c r="Q771" s="457"/>
      <c r="R771" s="465">
        <v>33139243.07</v>
      </c>
      <c r="S771" s="456"/>
      <c r="T771" s="461"/>
      <c r="U771" s="461"/>
      <c r="V771" s="459">
        <f>1828372.53+1656962.15</f>
        <v>3485334.68</v>
      </c>
      <c r="W771" s="458">
        <v>771247.62</v>
      </c>
      <c r="X771" s="467"/>
      <c r="Y771" s="461">
        <f t="shared" si="327"/>
        <v>46702949.43</v>
      </c>
      <c r="Z771" s="461">
        <f t="shared" si="328"/>
        <v>16188175.58</v>
      </c>
      <c r="AA771" s="467"/>
      <c r="AB771" s="461"/>
      <c r="AC771" s="476"/>
      <c r="AD771" s="231">
        <v>2024</v>
      </c>
      <c r="AE771" s="231">
        <v>2024</v>
      </c>
      <c r="AF771" s="91"/>
      <c r="AG771" s="262"/>
    </row>
    <row r="772" spans="1:34" s="26" customFormat="1" ht="24" customHeight="1">
      <c r="A772" s="231">
        <f t="shared" si="310"/>
        <v>347</v>
      </c>
      <c r="B772" s="482" t="s">
        <v>732</v>
      </c>
      <c r="C772" s="453">
        <f t="shared" si="322"/>
        <v>61310748.859999999</v>
      </c>
      <c r="D772" s="465">
        <v>2469331.23</v>
      </c>
      <c r="E772" s="457"/>
      <c r="F772" s="465"/>
      <c r="G772" s="466">
        <v>3174430.45</v>
      </c>
      <c r="H772" s="456">
        <v>3195890.9</v>
      </c>
      <c r="I772" s="465">
        <v>13217499.23</v>
      </c>
      <c r="J772" s="458"/>
      <c r="K772" s="457"/>
      <c r="L772" s="464"/>
      <c r="M772" s="480"/>
      <c r="N772" s="480"/>
      <c r="O772" s="480"/>
      <c r="P772" s="459"/>
      <c r="Q772" s="457"/>
      <c r="R772" s="465">
        <v>28003922.920000002</v>
      </c>
      <c r="S772" s="456">
        <v>6455722.6900000004</v>
      </c>
      <c r="T772" s="461"/>
      <c r="U772" s="461"/>
      <c r="V772" s="459">
        <v>4027597.4</v>
      </c>
      <c r="W772" s="458">
        <v>766354.04</v>
      </c>
      <c r="X772" s="467"/>
      <c r="Y772" s="461">
        <f t="shared" si="327"/>
        <v>45529362.100000001</v>
      </c>
      <c r="Z772" s="461">
        <f t="shared" si="328"/>
        <v>15781386.76</v>
      </c>
      <c r="AA772" s="467"/>
      <c r="AB772" s="461"/>
      <c r="AC772" s="476"/>
      <c r="AD772" s="231">
        <v>2024</v>
      </c>
      <c r="AE772" s="231">
        <v>2024</v>
      </c>
      <c r="AF772" s="91"/>
      <c r="AG772" s="262"/>
    </row>
    <row r="773" spans="1:34" s="148" customFormat="1" ht="24" customHeight="1">
      <c r="A773" s="883" t="s">
        <v>180</v>
      </c>
      <c r="B773" s="883"/>
      <c r="C773" s="16">
        <f>SUM(C717:C772)</f>
        <v>1500540040.75</v>
      </c>
      <c r="D773" s="16">
        <f t="shared" ref="D773:AC773" si="329">SUM(D717:D772)</f>
        <v>88392919.079999998</v>
      </c>
      <c r="E773" s="16">
        <f t="shared" si="329"/>
        <v>0</v>
      </c>
      <c r="F773" s="16">
        <f t="shared" si="329"/>
        <v>0</v>
      </c>
      <c r="G773" s="16">
        <f t="shared" si="329"/>
        <v>88291427.689999998</v>
      </c>
      <c r="H773" s="16">
        <f t="shared" si="329"/>
        <v>113556775.05</v>
      </c>
      <c r="I773" s="16">
        <f t="shared" si="329"/>
        <v>326646426.26999998</v>
      </c>
      <c r="J773" s="407">
        <f t="shared" si="329"/>
        <v>4</v>
      </c>
      <c r="K773" s="16">
        <f t="shared" si="329"/>
        <v>10915296.17</v>
      </c>
      <c r="L773" s="16">
        <f t="shared" si="329"/>
        <v>16119624.970000001</v>
      </c>
      <c r="M773" s="16">
        <f t="shared" si="329"/>
        <v>0</v>
      </c>
      <c r="N773" s="16">
        <f t="shared" si="329"/>
        <v>0</v>
      </c>
      <c r="O773" s="16">
        <f t="shared" si="329"/>
        <v>0</v>
      </c>
      <c r="P773" s="16">
        <f t="shared" si="329"/>
        <v>160430061.65000001</v>
      </c>
      <c r="Q773" s="16">
        <f t="shared" si="329"/>
        <v>23719276.91</v>
      </c>
      <c r="R773" s="16">
        <f t="shared" si="329"/>
        <v>434635764.22000003</v>
      </c>
      <c r="S773" s="16">
        <f t="shared" si="329"/>
        <v>126726349.27</v>
      </c>
      <c r="T773" s="407">
        <f t="shared" si="329"/>
        <v>12</v>
      </c>
      <c r="U773" s="16">
        <f t="shared" si="329"/>
        <v>6112058.96</v>
      </c>
      <c r="V773" s="16">
        <f t="shared" si="329"/>
        <v>86224178.040000007</v>
      </c>
      <c r="W773" s="16">
        <f t="shared" si="329"/>
        <v>18769882.469999999</v>
      </c>
      <c r="X773" s="16">
        <f t="shared" si="329"/>
        <v>0</v>
      </c>
      <c r="Y773" s="16">
        <f t="shared" si="329"/>
        <v>913616790.5</v>
      </c>
      <c r="Z773" s="16">
        <f t="shared" si="329"/>
        <v>355955935.19</v>
      </c>
      <c r="AA773" s="16">
        <f t="shared" si="329"/>
        <v>0</v>
      </c>
      <c r="AB773" s="16">
        <f t="shared" si="329"/>
        <v>230967315.06</v>
      </c>
      <c r="AC773" s="16">
        <f t="shared" si="329"/>
        <v>0</v>
      </c>
      <c r="AD773" s="798" t="s">
        <v>29</v>
      </c>
      <c r="AE773" s="798" t="s">
        <v>29</v>
      </c>
      <c r="AF773" s="146"/>
      <c r="AG773" s="147"/>
    </row>
    <row r="774" spans="1:34" ht="24" customHeight="1">
      <c r="A774" s="888" t="s">
        <v>366</v>
      </c>
      <c r="B774" s="888"/>
      <c r="C774" s="888"/>
      <c r="D774" s="888"/>
      <c r="E774" s="888"/>
      <c r="F774" s="888"/>
      <c r="G774" s="888"/>
      <c r="H774" s="888"/>
      <c r="I774" s="888"/>
      <c r="J774" s="888"/>
      <c r="K774" s="888"/>
      <c r="L774" s="888"/>
      <c r="M774" s="888"/>
      <c r="N774" s="888"/>
      <c r="O774" s="888"/>
      <c r="P774" s="888"/>
      <c r="Q774" s="888"/>
      <c r="R774" s="888"/>
      <c r="S774" s="888"/>
      <c r="T774" s="889"/>
      <c r="U774" s="889"/>
      <c r="V774" s="888"/>
      <c r="W774" s="888"/>
      <c r="X774" s="888"/>
      <c r="Y774" s="888"/>
      <c r="Z774" s="888"/>
      <c r="AA774" s="888"/>
      <c r="AB774" s="888"/>
      <c r="AC774" s="888"/>
      <c r="AD774" s="888"/>
      <c r="AE774" s="888"/>
      <c r="AF774" s="808"/>
      <c r="AG774" s="806"/>
    </row>
    <row r="775" spans="1:34" ht="24" customHeight="1">
      <c r="A775" s="231">
        <f>A772+1</f>
        <v>348</v>
      </c>
      <c r="B775" s="229" t="s">
        <v>549</v>
      </c>
      <c r="C775" s="232">
        <f>D775+F775+G775+H775+I775+K775+L775+M775+O775+P775+Q775+R775+S775+W775+V775+X775</f>
        <v>24998000</v>
      </c>
      <c r="D775" s="254"/>
      <c r="E775" s="254"/>
      <c r="F775" s="254"/>
      <c r="G775" s="799"/>
      <c r="H775" s="254"/>
      <c r="I775" s="254"/>
      <c r="J775" s="254"/>
      <c r="K775" s="254"/>
      <c r="L775" s="799"/>
      <c r="M775" s="799"/>
      <c r="N775" s="799"/>
      <c r="O775" s="799"/>
      <c r="P775" s="126"/>
      <c r="Q775" s="254"/>
      <c r="R775" s="309">
        <v>24800000</v>
      </c>
      <c r="S775" s="254"/>
      <c r="T775" s="254"/>
      <c r="U775" s="254"/>
      <c r="V775" s="309">
        <v>99000</v>
      </c>
      <c r="W775" s="309">
        <v>99000</v>
      </c>
      <c r="X775" s="254"/>
      <c r="Y775" s="254"/>
      <c r="Z775" s="254"/>
      <c r="AA775" s="254"/>
      <c r="AB775" s="293">
        <f>C775</f>
        <v>24998000</v>
      </c>
      <c r="AC775" s="254"/>
      <c r="AD775" s="231">
        <v>2024</v>
      </c>
      <c r="AE775" s="231">
        <v>2024</v>
      </c>
      <c r="AF775" s="365"/>
      <c r="AG775" s="332"/>
    </row>
    <row r="776" spans="1:34" ht="24" customHeight="1">
      <c r="A776" s="231">
        <f>A775+1</f>
        <v>349</v>
      </c>
      <c r="B776" s="229" t="s">
        <v>828</v>
      </c>
      <c r="C776" s="232">
        <f>D776+F776+G776+H776+I776+K776+L776+M776+O776+P776+Q776+R776+S776+W776+V776+X776</f>
        <v>7648580.9900000002</v>
      </c>
      <c r="D776" s="228"/>
      <c r="E776" s="228"/>
      <c r="F776" s="228"/>
      <c r="G776" s="182"/>
      <c r="H776" s="234"/>
      <c r="I776" s="234"/>
      <c r="J776" s="229"/>
      <c r="K776" s="228"/>
      <c r="L776" s="182"/>
      <c r="M776" s="185"/>
      <c r="N776" s="185"/>
      <c r="O776" s="185"/>
      <c r="P776" s="822">
        <v>7438010.8300000001</v>
      </c>
      <c r="Q776" s="228"/>
      <c r="R776" s="257"/>
      <c r="S776" s="234"/>
      <c r="T776" s="234"/>
      <c r="U776" s="234"/>
      <c r="V776" s="268">
        <v>99000</v>
      </c>
      <c r="W776" s="302">
        <v>111570.16</v>
      </c>
      <c r="X776" s="229"/>
      <c r="Y776" s="229"/>
      <c r="Z776" s="229"/>
      <c r="AA776" s="229"/>
      <c r="AB776" s="230">
        <f>C776</f>
        <v>7648580.9900000002</v>
      </c>
      <c r="AC776" s="231"/>
      <c r="AD776" s="231">
        <v>2024</v>
      </c>
      <c r="AE776" s="231">
        <v>2024</v>
      </c>
      <c r="AF776" s="365"/>
      <c r="AG776" s="332"/>
    </row>
    <row r="777" spans="1:34" ht="24" customHeight="1">
      <c r="A777" s="648">
        <f t="shared" ref="A777:A778" si="330">A776+1</f>
        <v>350</v>
      </c>
      <c r="B777" s="660" t="s">
        <v>733</v>
      </c>
      <c r="C777" s="649">
        <f>D777+F777+G777+H777+I777+K777+L777+M777+O777+P777+Q777+R777+S777+W777+V777+X777</f>
        <v>48916419.450000003</v>
      </c>
      <c r="D777" s="659"/>
      <c r="E777" s="659"/>
      <c r="F777" s="659"/>
      <c r="G777" s="661"/>
      <c r="H777" s="662"/>
      <c r="I777" s="662"/>
      <c r="J777" s="660"/>
      <c r="K777" s="659"/>
      <c r="L777" s="661"/>
      <c r="M777" s="663"/>
      <c r="N777" s="663"/>
      <c r="O777" s="663"/>
      <c r="P777" s="822">
        <v>14828626.49</v>
      </c>
      <c r="Q777" s="659"/>
      <c r="R777" s="761">
        <v>30952842.120000001</v>
      </c>
      <c r="S777" s="662"/>
      <c r="T777" s="662"/>
      <c r="U777" s="662"/>
      <c r="V777" s="696">
        <f>1038003.85+1547642.11</f>
        <v>2585645.96</v>
      </c>
      <c r="W777" s="697">
        <f>85012.25+464292.63</f>
        <v>549304.88</v>
      </c>
      <c r="X777" s="660"/>
      <c r="Y777" s="654">
        <f>15951642.59*71%</f>
        <v>11325666.24</v>
      </c>
      <c r="Z777" s="654">
        <f>15951642.59*29%</f>
        <v>4625976.3499999996</v>
      </c>
      <c r="AA777" s="660"/>
      <c r="AB777" s="654">
        <f>C777-Y777-Z777</f>
        <v>32964776.859999999</v>
      </c>
      <c r="AC777" s="648"/>
      <c r="AD777" s="648">
        <v>2024</v>
      </c>
      <c r="AE777" s="648">
        <v>2026</v>
      </c>
      <c r="AF777" s="679"/>
      <c r="AG777" s="262"/>
      <c r="AH777" s="262"/>
    </row>
    <row r="778" spans="1:34" ht="24" customHeight="1">
      <c r="A778" s="648">
        <f t="shared" si="330"/>
        <v>351</v>
      </c>
      <c r="B778" s="660" t="s">
        <v>734</v>
      </c>
      <c r="C778" s="649">
        <f>D778+F778+G778+H778+I778+K778+L778+M778+O778+P778+Q778+R778+S778+W778+V778+X778</f>
        <v>42519450.729999997</v>
      </c>
      <c r="D778" s="659"/>
      <c r="E778" s="659"/>
      <c r="F778" s="659"/>
      <c r="G778" s="661"/>
      <c r="H778" s="662"/>
      <c r="I778" s="662"/>
      <c r="J778" s="660"/>
      <c r="K778" s="659"/>
      <c r="L778" s="661"/>
      <c r="M778" s="663"/>
      <c r="N778" s="663"/>
      <c r="O778" s="663"/>
      <c r="P778" s="822">
        <v>13247241.380000001</v>
      </c>
      <c r="Q778" s="659"/>
      <c r="R778" s="761">
        <v>26538819.109999999</v>
      </c>
      <c r="S778" s="662"/>
      <c r="T778" s="662"/>
      <c r="U778" s="662"/>
      <c r="V778" s="696">
        <f>934878.72+1326940.95</f>
        <v>2261819.67</v>
      </c>
      <c r="W778" s="697">
        <f>73488.28+398082.29</f>
        <v>471570.57</v>
      </c>
      <c r="X778" s="660"/>
      <c r="Y778" s="654">
        <f>14255608.38*71%</f>
        <v>10121481.949999999</v>
      </c>
      <c r="Z778" s="654">
        <f>14255608.38*29%</f>
        <v>4134126.43</v>
      </c>
      <c r="AA778" s="660"/>
      <c r="AB778" s="654">
        <f>C778-Y778-Z778</f>
        <v>28263842.350000001</v>
      </c>
      <c r="AC778" s="648"/>
      <c r="AD778" s="648">
        <v>2024</v>
      </c>
      <c r="AE778" s="648">
        <v>2026</v>
      </c>
      <c r="AF778" s="679"/>
      <c r="AG778" s="262"/>
      <c r="AH778" s="262"/>
    </row>
    <row r="779" spans="1:34" s="26" customFormat="1" ht="24" customHeight="1">
      <c r="A779" s="648">
        <f>A778+1</f>
        <v>352</v>
      </c>
      <c r="B779" s="699" t="s">
        <v>829</v>
      </c>
      <c r="C779" s="649">
        <f>D779+F779+G779+H779+I779+K779+L779+M779+O779+P779+Q779+R779+S779+W779+V779+X779</f>
        <v>43406509.299999997</v>
      </c>
      <c r="D779" s="659"/>
      <c r="E779" s="660"/>
      <c r="F779" s="660"/>
      <c r="G779" s="661"/>
      <c r="H779" s="662"/>
      <c r="I779" s="662"/>
      <c r="J779" s="660"/>
      <c r="K779" s="659"/>
      <c r="L779" s="661"/>
      <c r="M779" s="663"/>
      <c r="N779" s="698"/>
      <c r="O779" s="663"/>
      <c r="P779" s="754">
        <v>13636112.369999999</v>
      </c>
      <c r="Q779" s="661"/>
      <c r="R779" s="658">
        <v>26961125.100000001</v>
      </c>
      <c r="S779" s="659"/>
      <c r="T779" s="659"/>
      <c r="U779" s="659"/>
      <c r="V779" s="696">
        <f>954527.87+1348056.25</f>
        <v>2302584.12</v>
      </c>
      <c r="W779" s="697">
        <f>102270.83+404416.88</f>
        <v>506687.71</v>
      </c>
      <c r="X779" s="660"/>
      <c r="Y779" s="654">
        <f>14692911.07*69%</f>
        <v>10138108.640000001</v>
      </c>
      <c r="Z779" s="654">
        <f>14692911.07*31%</f>
        <v>4554802.43</v>
      </c>
      <c r="AA779" s="660"/>
      <c r="AB779" s="654">
        <f>C779-Y779-Z779</f>
        <v>28713598.23</v>
      </c>
      <c r="AC779" s="648"/>
      <c r="AD779" s="648">
        <v>2024</v>
      </c>
      <c r="AE779" s="648">
        <v>2026</v>
      </c>
      <c r="AF779" s="25"/>
      <c r="AG779" s="262"/>
      <c r="AH779" s="262"/>
    </row>
    <row r="780" spans="1:34" s="26" customFormat="1" ht="24" customHeight="1">
      <c r="A780" s="231">
        <f t="shared" ref="A780:A781" si="331">A779+1</f>
        <v>353</v>
      </c>
      <c r="B780" s="487" t="s">
        <v>830</v>
      </c>
      <c r="C780" s="453">
        <f t="shared" ref="C780" si="332">D780+F780+G780+H780+I780+K780+L780+M780+O780+P780+Q780+R780+S780+W780+V780+X780</f>
        <v>20181967.690000001</v>
      </c>
      <c r="D780" s="472"/>
      <c r="E780" s="467"/>
      <c r="F780" s="467"/>
      <c r="G780" s="466"/>
      <c r="H780" s="473"/>
      <c r="I780" s="473"/>
      <c r="J780" s="467"/>
      <c r="K780" s="472"/>
      <c r="L780" s="466"/>
      <c r="M780" s="474"/>
      <c r="N780" s="486"/>
      <c r="O780" s="474"/>
      <c r="P780" s="823"/>
      <c r="Q780" s="466"/>
      <c r="R780" s="818">
        <v>18730364.460000001</v>
      </c>
      <c r="S780" s="472"/>
      <c r="T780" s="472"/>
      <c r="U780" s="472"/>
      <c r="V780" s="484">
        <v>1311125.51</v>
      </c>
      <c r="W780" s="485">
        <v>140477.72</v>
      </c>
      <c r="X780" s="467"/>
      <c r="Y780" s="461">
        <f>C780*69%</f>
        <v>13925557.710000001</v>
      </c>
      <c r="Z780" s="461">
        <f>C780*31%</f>
        <v>6256409.9800000004</v>
      </c>
      <c r="AA780" s="467"/>
      <c r="AB780" s="461"/>
      <c r="AC780" s="476"/>
      <c r="AD780" s="476">
        <v>2024</v>
      </c>
      <c r="AE780" s="476">
        <v>2026</v>
      </c>
      <c r="AF780" s="25"/>
      <c r="AG780" s="262"/>
    </row>
    <row r="781" spans="1:34" ht="24" customHeight="1">
      <c r="A781" s="231">
        <f t="shared" si="331"/>
        <v>354</v>
      </c>
      <c r="B781" s="229" t="s">
        <v>735</v>
      </c>
      <c r="C781" s="232">
        <f>D781+F781+G781+H781+I781+K781+L781+M781+O781+P781+Q781+R781+S781+W781+V781+X781</f>
        <v>23325533.350000001</v>
      </c>
      <c r="D781" s="228"/>
      <c r="E781" s="228"/>
      <c r="F781" s="228"/>
      <c r="G781" s="182"/>
      <c r="H781" s="234"/>
      <c r="I781" s="234"/>
      <c r="J781" s="229"/>
      <c r="K781" s="228"/>
      <c r="L781" s="182"/>
      <c r="M781" s="185"/>
      <c r="N781" s="185"/>
      <c r="O781" s="185"/>
      <c r="P781" s="822"/>
      <c r="Q781" s="228"/>
      <c r="R781" s="819">
        <v>21688587.27</v>
      </c>
      <c r="S781" s="234"/>
      <c r="T781" s="234"/>
      <c r="U781" s="234"/>
      <c r="V781" s="268">
        <v>1518201.11</v>
      </c>
      <c r="W781" s="302">
        <v>118744.97</v>
      </c>
      <c r="X781" s="229"/>
      <c r="Y781" s="230">
        <f t="shared" ref="Y781" si="333">C781*71%</f>
        <v>16561128.68</v>
      </c>
      <c r="Z781" s="230">
        <f t="shared" ref="Z781" si="334">C781*29%</f>
        <v>6764404.6699999999</v>
      </c>
      <c r="AA781" s="229"/>
      <c r="AB781" s="230"/>
      <c r="AC781" s="231"/>
      <c r="AD781" s="231">
        <v>2024</v>
      </c>
      <c r="AE781" s="231">
        <v>2026</v>
      </c>
      <c r="AF781" s="365"/>
      <c r="AG781" s="262"/>
    </row>
    <row r="782" spans="1:34" s="26" customFormat="1" ht="24" customHeight="1">
      <c r="A782" s="212">
        <f t="shared" ref="A782:A803" si="335">A781+1</f>
        <v>355</v>
      </c>
      <c r="B782" s="275" t="s">
        <v>227</v>
      </c>
      <c r="C782" s="213">
        <f t="shared" ref="C782:C801" si="336">D782+F782+G782+H782+I782+K782+L782+M782+O782+P782+Q782+R782+S782+W782+V782+X782</f>
        <v>1637809</v>
      </c>
      <c r="D782" s="214"/>
      <c r="E782" s="820">
        <v>1</v>
      </c>
      <c r="F782" s="276">
        <v>1588974.38</v>
      </c>
      <c r="G782" s="215"/>
      <c r="H782" s="210"/>
      <c r="I782" s="216"/>
      <c r="J782" s="210"/>
      <c r="K782" s="214"/>
      <c r="L782" s="215"/>
      <c r="M782" s="220"/>
      <c r="N782" s="220"/>
      <c r="O782" s="220"/>
      <c r="P782" s="209"/>
      <c r="Q782" s="277"/>
      <c r="R782" s="820"/>
      <c r="S782" s="210"/>
      <c r="T782" s="210"/>
      <c r="U782" s="210"/>
      <c r="V782" s="272">
        <v>25000</v>
      </c>
      <c r="W782" s="273">
        <v>23834.62</v>
      </c>
      <c r="X782" s="210"/>
      <c r="Y782" s="210"/>
      <c r="Z782" s="210"/>
      <c r="AA782" s="210"/>
      <c r="AB782" s="211">
        <f t="shared" ref="AB782:AB801" si="337">C782</f>
        <v>1637809</v>
      </c>
      <c r="AC782" s="212"/>
      <c r="AD782" s="212">
        <v>2024</v>
      </c>
      <c r="AE782" s="212">
        <v>2024</v>
      </c>
      <c r="AF782" s="25"/>
      <c r="AG782" s="91"/>
    </row>
    <row r="783" spans="1:34" s="26" customFormat="1" ht="24" customHeight="1">
      <c r="A783" s="212">
        <f t="shared" si="335"/>
        <v>356</v>
      </c>
      <c r="B783" s="487" t="s">
        <v>831</v>
      </c>
      <c r="C783" s="453">
        <f t="shared" si="336"/>
        <v>34343653.109999999</v>
      </c>
      <c r="D783" s="472"/>
      <c r="E783" s="476"/>
      <c r="F783" s="488"/>
      <c r="G783" s="466"/>
      <c r="H783" s="467"/>
      <c r="I783" s="473"/>
      <c r="J783" s="467"/>
      <c r="K783" s="472"/>
      <c r="L783" s="466"/>
      <c r="M783" s="474"/>
      <c r="N783" s="474"/>
      <c r="O783" s="474"/>
      <c r="P783" s="475"/>
      <c r="Q783" s="489"/>
      <c r="R783" s="821">
        <v>31953428.609999999</v>
      </c>
      <c r="S783" s="467"/>
      <c r="T783" s="467"/>
      <c r="U783" s="467"/>
      <c r="V783" s="484">
        <v>2150573.8199999998</v>
      </c>
      <c r="W783" s="485">
        <v>239650.68</v>
      </c>
      <c r="X783" s="467"/>
      <c r="Y783" s="461">
        <f>C783*69%</f>
        <v>23697120.649999999</v>
      </c>
      <c r="Z783" s="461">
        <f>C783*31%</f>
        <v>10646532.460000001</v>
      </c>
      <c r="AA783" s="467"/>
      <c r="AB783" s="461"/>
      <c r="AC783" s="476"/>
      <c r="AD783" s="476">
        <v>2024</v>
      </c>
      <c r="AE783" s="476">
        <v>2026</v>
      </c>
      <c r="AF783" s="25"/>
      <c r="AG783" s="262"/>
    </row>
    <row r="784" spans="1:34" s="26" customFormat="1" ht="24" customHeight="1">
      <c r="A784" s="212">
        <f t="shared" si="335"/>
        <v>357</v>
      </c>
      <c r="B784" s="487" t="s">
        <v>832</v>
      </c>
      <c r="C784" s="453">
        <f t="shared" si="336"/>
        <v>34348267.539999999</v>
      </c>
      <c r="D784" s="472"/>
      <c r="E784" s="476"/>
      <c r="F784" s="488"/>
      <c r="G784" s="466"/>
      <c r="H784" s="467"/>
      <c r="I784" s="473"/>
      <c r="J784" s="467"/>
      <c r="K784" s="472"/>
      <c r="L784" s="466"/>
      <c r="M784" s="474"/>
      <c r="N784" s="474"/>
      <c r="O784" s="474"/>
      <c r="P784" s="475"/>
      <c r="Q784" s="489"/>
      <c r="R784" s="821">
        <v>31957711.140000001</v>
      </c>
      <c r="S784" s="467"/>
      <c r="T784" s="467"/>
      <c r="U784" s="467"/>
      <c r="V784" s="484">
        <v>2150873.6</v>
      </c>
      <c r="W784" s="485">
        <v>239682.8</v>
      </c>
      <c r="X784" s="467"/>
      <c r="Y784" s="461">
        <f>C784*69%</f>
        <v>23700304.600000001</v>
      </c>
      <c r="Z784" s="461">
        <f>C784*31%</f>
        <v>10647962.939999999</v>
      </c>
      <c r="AA784" s="467"/>
      <c r="AB784" s="461"/>
      <c r="AC784" s="476"/>
      <c r="AD784" s="476">
        <v>2024</v>
      </c>
      <c r="AE784" s="476">
        <v>2026</v>
      </c>
      <c r="AF784" s="25"/>
      <c r="AG784" s="262"/>
    </row>
    <row r="785" spans="1:34" s="26" customFormat="1" ht="24" customHeight="1">
      <c r="A785" s="648">
        <f t="shared" si="335"/>
        <v>358</v>
      </c>
      <c r="B785" s="699" t="s">
        <v>833</v>
      </c>
      <c r="C785" s="649">
        <f t="shared" si="336"/>
        <v>43163845.390000001</v>
      </c>
      <c r="D785" s="659"/>
      <c r="E785" s="648"/>
      <c r="F785" s="700"/>
      <c r="G785" s="661"/>
      <c r="H785" s="660"/>
      <c r="I785" s="662"/>
      <c r="J785" s="660"/>
      <c r="K785" s="659"/>
      <c r="L785" s="661"/>
      <c r="M785" s="663"/>
      <c r="N785" s="663"/>
      <c r="O785" s="663"/>
      <c r="P785" s="664">
        <v>13508043.800000001</v>
      </c>
      <c r="Q785" s="701"/>
      <c r="R785" s="761">
        <v>26707909.760000002</v>
      </c>
      <c r="S785" s="660"/>
      <c r="T785" s="660"/>
      <c r="U785" s="660"/>
      <c r="V785" s="696">
        <f>675408.19+1869553.68</f>
        <v>2544961.87</v>
      </c>
      <c r="W785" s="697">
        <f>202620.66+200309.3</f>
        <v>402929.96</v>
      </c>
      <c r="X785" s="660"/>
      <c r="Y785" s="654">
        <f>28777772.74*69%</f>
        <v>19856663.190000001</v>
      </c>
      <c r="Z785" s="654">
        <f>28777772.74*31%</f>
        <v>8921109.5500000007</v>
      </c>
      <c r="AA785" s="660"/>
      <c r="AB785" s="654">
        <f>C785-Y785-Z785</f>
        <v>14386072.65</v>
      </c>
      <c r="AC785" s="648"/>
      <c r="AD785" s="648">
        <v>2024</v>
      </c>
      <c r="AE785" s="648">
        <v>2026</v>
      </c>
      <c r="AF785" s="25"/>
      <c r="AG785" s="262"/>
      <c r="AH785" s="262"/>
    </row>
    <row r="786" spans="1:34" s="26" customFormat="1" ht="24" customHeight="1">
      <c r="A786" s="231">
        <f t="shared" si="335"/>
        <v>359</v>
      </c>
      <c r="B786" s="368" t="s">
        <v>772</v>
      </c>
      <c r="C786" s="232">
        <f t="shared" si="336"/>
        <v>21106495.280000001</v>
      </c>
      <c r="D786" s="228"/>
      <c r="E786" s="231"/>
      <c r="F786" s="303"/>
      <c r="G786" s="182"/>
      <c r="H786" s="229"/>
      <c r="I786" s="234"/>
      <c r="J786" s="229"/>
      <c r="K786" s="228"/>
      <c r="L786" s="182"/>
      <c r="M786" s="185"/>
      <c r="N786" s="185"/>
      <c r="O786" s="185"/>
      <c r="P786" s="236">
        <v>5980419.4100000001</v>
      </c>
      <c r="Q786" s="298"/>
      <c r="R786" s="794">
        <v>13164240.279999999</v>
      </c>
      <c r="S786" s="229"/>
      <c r="T786" s="229"/>
      <c r="U786" s="229"/>
      <c r="V786" s="268">
        <f>852349.22+921496.82</f>
        <v>1773846.04</v>
      </c>
      <c r="W786" s="302">
        <v>187989.55</v>
      </c>
      <c r="X786" s="229"/>
      <c r="Y786" s="230">
        <f>(6922026.39*71%)+(14184468.89*69%)</f>
        <v>14701922.27</v>
      </c>
      <c r="Z786" s="230">
        <f>(6922026.39*29%)+(14184468.89*31%)</f>
        <v>6404573.0099999998</v>
      </c>
      <c r="AA786" s="229"/>
      <c r="AB786" s="230"/>
      <c r="AC786" s="231"/>
      <c r="AD786" s="231">
        <v>2024</v>
      </c>
      <c r="AE786" s="231">
        <v>2026</v>
      </c>
      <c r="AF786" s="25"/>
      <c r="AG786" s="262"/>
      <c r="AH786" s="262"/>
    </row>
    <row r="787" spans="1:34" s="26" customFormat="1" ht="24" customHeight="1">
      <c r="A787" s="231">
        <f t="shared" si="335"/>
        <v>360</v>
      </c>
      <c r="B787" s="368" t="s">
        <v>228</v>
      </c>
      <c r="C787" s="232">
        <f>D787+F787+G787+H787+I787+K787+L787+M787+O787+P787+Q787+R787+S787+W787+V787+X787</f>
        <v>40100762.829999998</v>
      </c>
      <c r="D787" s="228"/>
      <c r="E787" s="229"/>
      <c r="F787" s="229"/>
      <c r="G787" s="182"/>
      <c r="H787" s="234"/>
      <c r="I787" s="234"/>
      <c r="J787" s="229"/>
      <c r="K787" s="228"/>
      <c r="L787" s="182"/>
      <c r="M787" s="185"/>
      <c r="N787" s="185"/>
      <c r="O787" s="185"/>
      <c r="P787" s="236">
        <v>16307231.439999999</v>
      </c>
      <c r="Q787" s="298"/>
      <c r="R787" s="794">
        <v>22129511.18</v>
      </c>
      <c r="S787" s="228"/>
      <c r="T787" s="228"/>
      <c r="U787" s="228"/>
      <c r="V787" s="268">
        <v>1240506.2</v>
      </c>
      <c r="W787" s="302">
        <v>423514.01</v>
      </c>
      <c r="X787" s="229"/>
      <c r="Y787" s="230">
        <f>17540308.98*71%</f>
        <v>12453619.380000001</v>
      </c>
      <c r="Z787" s="230">
        <f>17540308.98*29%</f>
        <v>5086689.5999999996</v>
      </c>
      <c r="AA787" s="229"/>
      <c r="AB787" s="230">
        <f>C787-Y787-Z787</f>
        <v>22560453.850000001</v>
      </c>
      <c r="AC787" s="231"/>
      <c r="AD787" s="231">
        <v>2024</v>
      </c>
      <c r="AE787" s="231">
        <v>2026</v>
      </c>
      <c r="AG787" s="262"/>
    </row>
    <row r="788" spans="1:34" s="26" customFormat="1" ht="24" customHeight="1">
      <c r="A788" s="231">
        <f t="shared" si="335"/>
        <v>361</v>
      </c>
      <c r="B788" s="368" t="s">
        <v>229</v>
      </c>
      <c r="C788" s="232">
        <f>D788+F788+G788+H788+I788+K788+L788+M788+O788+P788+Q788+R788+S788+W788+V788+X788</f>
        <v>37435747.090000004</v>
      </c>
      <c r="D788" s="228"/>
      <c r="E788" s="229"/>
      <c r="F788" s="229"/>
      <c r="G788" s="182"/>
      <c r="H788" s="182"/>
      <c r="I788" s="182"/>
      <c r="J788" s="182"/>
      <c r="K788" s="182"/>
      <c r="L788" s="182"/>
      <c r="M788" s="185"/>
      <c r="N788" s="185"/>
      <c r="O788" s="185"/>
      <c r="P788" s="794">
        <v>15331123.15</v>
      </c>
      <c r="Q788" s="228"/>
      <c r="R788" s="794">
        <v>20538280.989999998</v>
      </c>
      <c r="S788" s="228"/>
      <c r="T788" s="228"/>
      <c r="U788" s="228"/>
      <c r="V788" s="268">
        <f>99000+1073178.62</f>
        <v>1172178.6200000001</v>
      </c>
      <c r="W788" s="302">
        <f>308074.21+86090.12</f>
        <v>394164.33</v>
      </c>
      <c r="X788" s="229"/>
      <c r="Y788" s="230">
        <f>16490391.89*71%</f>
        <v>11708178.24</v>
      </c>
      <c r="Z788" s="230">
        <f>16490391.89*29%</f>
        <v>4782213.6500000004</v>
      </c>
      <c r="AA788" s="229"/>
      <c r="AB788" s="230">
        <f>C788-Y788-Z788</f>
        <v>20945355.199999999</v>
      </c>
      <c r="AC788" s="231"/>
      <c r="AD788" s="231">
        <v>2024</v>
      </c>
      <c r="AE788" s="231">
        <v>2026</v>
      </c>
      <c r="AF788" s="25"/>
      <c r="AG788" s="262"/>
    </row>
    <row r="789" spans="1:34" s="26" customFormat="1" ht="24" customHeight="1">
      <c r="A789" s="231">
        <f t="shared" si="335"/>
        <v>362</v>
      </c>
      <c r="B789" s="304" t="s">
        <v>834</v>
      </c>
      <c r="C789" s="232">
        <f t="shared" ref="C789" si="338">D789+F789+G789+H789+I789+K789+L789+M789+O789+P789+Q789+R789+S789+W789+V789+X789</f>
        <v>42198142.409999996</v>
      </c>
      <c r="D789" s="228"/>
      <c r="E789" s="265"/>
      <c r="F789" s="228"/>
      <c r="G789" s="182"/>
      <c r="H789" s="234"/>
      <c r="I789" s="234"/>
      <c r="J789" s="229"/>
      <c r="K789" s="228"/>
      <c r="L789" s="228"/>
      <c r="M789" s="229"/>
      <c r="N789" s="266"/>
      <c r="O789" s="267"/>
      <c r="P789" s="236">
        <v>17041681.079999998</v>
      </c>
      <c r="Q789" s="228"/>
      <c r="R789" s="309">
        <v>22580987.850000001</v>
      </c>
      <c r="S789" s="234"/>
      <c r="T789" s="234"/>
      <c r="U789" s="234"/>
      <c r="V789" s="268">
        <v>1981133.44</v>
      </c>
      <c r="W789" s="252">
        <v>594340.04</v>
      </c>
      <c r="X789" s="229"/>
      <c r="Y789" s="230">
        <f>C789*59%</f>
        <v>24896904.02</v>
      </c>
      <c r="Z789" s="230">
        <f>C789*41%</f>
        <v>17301238.390000001</v>
      </c>
      <c r="AA789" s="229"/>
      <c r="AB789" s="230"/>
      <c r="AC789" s="231"/>
      <c r="AD789" s="231">
        <v>2024</v>
      </c>
      <c r="AE789" s="231">
        <v>2026</v>
      </c>
      <c r="AF789" s="25"/>
      <c r="AG789" s="262"/>
    </row>
    <row r="790" spans="1:34" s="26" customFormat="1" ht="24" customHeight="1">
      <c r="A790" s="212">
        <f t="shared" si="335"/>
        <v>363</v>
      </c>
      <c r="B790" s="275" t="s">
        <v>230</v>
      </c>
      <c r="C790" s="213">
        <f t="shared" si="336"/>
        <v>26730877.989999998</v>
      </c>
      <c r="D790" s="214"/>
      <c r="E790" s="210"/>
      <c r="F790" s="210"/>
      <c r="G790" s="215"/>
      <c r="H790" s="216"/>
      <c r="I790" s="216"/>
      <c r="J790" s="210"/>
      <c r="K790" s="214"/>
      <c r="L790" s="215"/>
      <c r="M790" s="220"/>
      <c r="N790" s="220"/>
      <c r="O790" s="220"/>
      <c r="P790" s="824">
        <v>26283480.190000001</v>
      </c>
      <c r="Q790" s="215"/>
      <c r="R790" s="811"/>
      <c r="S790" s="214"/>
      <c r="T790" s="214"/>
      <c r="U790" s="214"/>
      <c r="V790" s="272">
        <v>99000</v>
      </c>
      <c r="W790" s="273">
        <v>348397.8</v>
      </c>
      <c r="X790" s="210"/>
      <c r="Y790" s="210"/>
      <c r="Z790" s="210"/>
      <c r="AA790" s="210"/>
      <c r="AB790" s="211">
        <f t="shared" si="337"/>
        <v>26730877.989999998</v>
      </c>
      <c r="AC790" s="212"/>
      <c r="AD790" s="212">
        <v>2024</v>
      </c>
      <c r="AE790" s="212">
        <v>2024</v>
      </c>
      <c r="AF790" s="25"/>
      <c r="AG790" s="91"/>
    </row>
    <row r="791" spans="1:34" s="26" customFormat="1" ht="24" customHeight="1">
      <c r="A791" s="212">
        <f t="shared" si="335"/>
        <v>364</v>
      </c>
      <c r="B791" s="275" t="s">
        <v>232</v>
      </c>
      <c r="C791" s="213">
        <f>D791+F791+G791+H791+I791+K791+L791+M791+O791+P791+Q791+R791+S791+W791+V791+X791</f>
        <v>1637809</v>
      </c>
      <c r="D791" s="214"/>
      <c r="E791" s="820">
        <v>1</v>
      </c>
      <c r="F791" s="213">
        <v>1588974.38</v>
      </c>
      <c r="G791" s="215"/>
      <c r="H791" s="216"/>
      <c r="I791" s="216"/>
      <c r="J791" s="210"/>
      <c r="K791" s="214"/>
      <c r="L791" s="215"/>
      <c r="M791" s="220"/>
      <c r="N791" s="220"/>
      <c r="O791" s="220"/>
      <c r="P791" s="824"/>
      <c r="Q791" s="215"/>
      <c r="R791" s="811"/>
      <c r="S791" s="214"/>
      <c r="T791" s="214"/>
      <c r="U791" s="214"/>
      <c r="V791" s="272">
        <v>25000</v>
      </c>
      <c r="W791" s="273">
        <v>23834.62</v>
      </c>
      <c r="X791" s="210"/>
      <c r="Y791" s="210"/>
      <c r="Z791" s="210"/>
      <c r="AA791" s="210"/>
      <c r="AB791" s="211">
        <f>C791</f>
        <v>1637809</v>
      </c>
      <c r="AC791" s="212"/>
      <c r="AD791" s="212">
        <v>2024</v>
      </c>
      <c r="AE791" s="212">
        <v>2024</v>
      </c>
      <c r="AF791" s="25"/>
      <c r="AG791" s="91"/>
    </row>
    <row r="792" spans="1:34" s="26" customFormat="1" ht="24" customHeight="1">
      <c r="A792" s="212">
        <f t="shared" si="335"/>
        <v>365</v>
      </c>
      <c r="B792" s="312" t="s">
        <v>835</v>
      </c>
      <c r="C792" s="213">
        <f t="shared" ref="C792" si="339">D792+F792+G792+H792+I792+K792+L792+M792+O792+P792+Q792+R792+S792+W792+V792+X792</f>
        <v>50452185.530000001</v>
      </c>
      <c r="D792" s="214"/>
      <c r="E792" s="278"/>
      <c r="F792" s="214"/>
      <c r="G792" s="215"/>
      <c r="H792" s="216"/>
      <c r="I792" s="216"/>
      <c r="J792" s="210"/>
      <c r="K792" s="214"/>
      <c r="L792" s="214"/>
      <c r="M792" s="210"/>
      <c r="N792" s="279"/>
      <c r="O792" s="280"/>
      <c r="P792" s="209">
        <v>15911988.85</v>
      </c>
      <c r="Q792" s="214"/>
      <c r="R792" s="813">
        <v>31460955.309999999</v>
      </c>
      <c r="S792" s="216"/>
      <c r="T792" s="216"/>
      <c r="U792" s="216"/>
      <c r="V792" s="272">
        <v>2368647.21</v>
      </c>
      <c r="W792" s="281">
        <v>710594.16</v>
      </c>
      <c r="X792" s="210"/>
      <c r="Y792" s="211">
        <f>C792*59%</f>
        <v>29766789.460000001</v>
      </c>
      <c r="Z792" s="211">
        <f>C792*41%</f>
        <v>20685396.07</v>
      </c>
      <c r="AA792" s="210"/>
      <c r="AB792" s="211"/>
      <c r="AC792" s="212"/>
      <c r="AD792" s="212">
        <v>2024</v>
      </c>
      <c r="AE792" s="212">
        <v>2026</v>
      </c>
      <c r="AF792" s="25"/>
      <c r="AG792" s="262"/>
    </row>
    <row r="793" spans="1:34" s="26" customFormat="1" ht="24" customHeight="1">
      <c r="A793" s="212">
        <f t="shared" si="335"/>
        <v>366</v>
      </c>
      <c r="B793" s="368" t="s">
        <v>736</v>
      </c>
      <c r="C793" s="232">
        <f>D793+F793+G793+H793+I793+K793+L793+M793+O793+P793+Q793+R793+S793+W793+V793+X793</f>
        <v>24895546.98</v>
      </c>
      <c r="D793" s="228"/>
      <c r="E793" s="231"/>
      <c r="F793" s="232"/>
      <c r="G793" s="182"/>
      <c r="H793" s="234"/>
      <c r="I793" s="234"/>
      <c r="J793" s="229"/>
      <c r="K793" s="228"/>
      <c r="L793" s="182"/>
      <c r="M793" s="185"/>
      <c r="N793" s="185"/>
      <c r="O793" s="185"/>
      <c r="P793" s="825">
        <v>14531866.140000001</v>
      </c>
      <c r="Q793" s="182"/>
      <c r="R793" s="794">
        <v>8616553.8900000006</v>
      </c>
      <c r="S793" s="228"/>
      <c r="T793" s="228"/>
      <c r="U793" s="228"/>
      <c r="V793" s="268">
        <v>1620389.4</v>
      </c>
      <c r="W793" s="302">
        <v>126737.55</v>
      </c>
      <c r="X793" s="229"/>
      <c r="Y793" s="230">
        <f t="shared" ref="Y793" si="340">C793*71%</f>
        <v>17675838.359999999</v>
      </c>
      <c r="Z793" s="230">
        <f t="shared" ref="Z793" si="341">C793*29%</f>
        <v>7219708.6200000001</v>
      </c>
      <c r="AA793" s="229"/>
      <c r="AB793" s="230"/>
      <c r="AC793" s="231"/>
      <c r="AD793" s="231">
        <v>2024</v>
      </c>
      <c r="AE793" s="231">
        <v>2026</v>
      </c>
      <c r="AF793" s="25"/>
      <c r="AG793" s="262"/>
    </row>
    <row r="794" spans="1:34" s="26" customFormat="1" ht="24" customHeight="1">
      <c r="A794" s="212">
        <f t="shared" si="335"/>
        <v>367</v>
      </c>
      <c r="B794" s="369" t="s">
        <v>773</v>
      </c>
      <c r="C794" s="232">
        <f>D794+F794+G794+H794+I794+K794+L794+M794+O794+P794+Q794+R794+S794+W794+V794+X794</f>
        <v>46750313</v>
      </c>
      <c r="D794" s="228"/>
      <c r="E794" s="231"/>
      <c r="F794" s="232"/>
      <c r="G794" s="182"/>
      <c r="H794" s="234"/>
      <c r="I794" s="234"/>
      <c r="J794" s="229"/>
      <c r="K794" s="228"/>
      <c r="L794" s="182"/>
      <c r="M794" s="185"/>
      <c r="N794" s="185"/>
      <c r="O794" s="185"/>
      <c r="P794" s="825">
        <v>18652442.760000002</v>
      </c>
      <c r="Q794" s="182"/>
      <c r="R794" s="794">
        <v>24715318.949999999</v>
      </c>
      <c r="S794" s="228"/>
      <c r="T794" s="228"/>
      <c r="U794" s="228"/>
      <c r="V794" s="268">
        <f>1188726.4+1730072.33</f>
        <v>2918798.73</v>
      </c>
      <c r="W794" s="302">
        <v>463752.56</v>
      </c>
      <c r="X794" s="229"/>
      <c r="Y794" s="230">
        <f>(20119556.86*71%)+(26630756.14*69%)</f>
        <v>32660107.109999999</v>
      </c>
      <c r="Z794" s="230">
        <f>(20119556.86*29%)+(26630756.14*31%)</f>
        <v>14090205.890000001</v>
      </c>
      <c r="AA794" s="229"/>
      <c r="AB794" s="230"/>
      <c r="AC794" s="231"/>
      <c r="AD794" s="231">
        <v>2024</v>
      </c>
      <c r="AE794" s="231">
        <v>2026</v>
      </c>
      <c r="AF794" s="25"/>
      <c r="AG794" s="262"/>
      <c r="AH794" s="262"/>
    </row>
    <row r="795" spans="1:34" s="26" customFormat="1" ht="24" customHeight="1">
      <c r="A795" s="212">
        <f t="shared" si="335"/>
        <v>368</v>
      </c>
      <c r="B795" s="369" t="s">
        <v>231</v>
      </c>
      <c r="C795" s="232">
        <f t="shared" ref="C795" si="342">D795+F795+G795+H795+I795+K795+L795+M795+O795+P795+Q795+R795+S795+W795+V795+X795</f>
        <v>3275618</v>
      </c>
      <c r="D795" s="228"/>
      <c r="E795" s="257">
        <v>2</v>
      </c>
      <c r="F795" s="228">
        <v>3177948.77</v>
      </c>
      <c r="G795" s="182"/>
      <c r="H795" s="234"/>
      <c r="I795" s="234"/>
      <c r="J795" s="229"/>
      <c r="K795" s="228"/>
      <c r="L795" s="182"/>
      <c r="M795" s="185"/>
      <c r="N795" s="195"/>
      <c r="O795" s="182"/>
      <c r="P795" s="825"/>
      <c r="Q795" s="182"/>
      <c r="R795" s="794"/>
      <c r="S795" s="228"/>
      <c r="T795" s="228"/>
      <c r="U795" s="228"/>
      <c r="V795" s="268">
        <v>50000</v>
      </c>
      <c r="W795" s="302">
        <v>47669.23</v>
      </c>
      <c r="X795" s="229"/>
      <c r="Y795" s="229"/>
      <c r="Z795" s="229"/>
      <c r="AA795" s="229"/>
      <c r="AB795" s="230">
        <f t="shared" ref="AB795" si="343">C795</f>
        <v>3275618</v>
      </c>
      <c r="AC795" s="231"/>
      <c r="AD795" s="231">
        <v>2024</v>
      </c>
      <c r="AE795" s="231">
        <v>2024</v>
      </c>
      <c r="AF795" s="25"/>
      <c r="AG795" s="91"/>
    </row>
    <row r="796" spans="1:34" s="26" customFormat="1" ht="24" customHeight="1">
      <c r="A796" s="212">
        <f t="shared" si="335"/>
        <v>369</v>
      </c>
      <c r="B796" s="369" t="s">
        <v>738</v>
      </c>
      <c r="C796" s="232">
        <f>D796+F796+G796+H796+I796+K796+L796+M796+O796+P796+Q796+R796+S796+W796+V796+X796</f>
        <v>37533362.859999999</v>
      </c>
      <c r="D796" s="228"/>
      <c r="E796" s="257"/>
      <c r="F796" s="228"/>
      <c r="G796" s="182"/>
      <c r="H796" s="234"/>
      <c r="I796" s="234"/>
      <c r="J796" s="229"/>
      <c r="K796" s="228"/>
      <c r="L796" s="182"/>
      <c r="M796" s="185"/>
      <c r="N796" s="195"/>
      <c r="O796" s="182"/>
      <c r="P796" s="825"/>
      <c r="Q796" s="182"/>
      <c r="R796" s="794">
        <v>34309326.920000002</v>
      </c>
      <c r="S796" s="228"/>
      <c r="T796" s="228"/>
      <c r="U796" s="228"/>
      <c r="V796" s="370">
        <v>2990162.59</v>
      </c>
      <c r="W796" s="370">
        <v>233873.35</v>
      </c>
      <c r="X796" s="229"/>
      <c r="Y796" s="230">
        <f>C796*71%</f>
        <v>26648687.629999999</v>
      </c>
      <c r="Z796" s="230">
        <f>C796*29%</f>
        <v>10884675.23</v>
      </c>
      <c r="AA796" s="229"/>
      <c r="AB796" s="230"/>
      <c r="AC796" s="231"/>
      <c r="AD796" s="231">
        <v>2024</v>
      </c>
      <c r="AE796" s="231">
        <v>2026</v>
      </c>
      <c r="AF796" s="25"/>
      <c r="AG796" s="262"/>
    </row>
    <row r="797" spans="1:34" s="26" customFormat="1" ht="24" customHeight="1">
      <c r="A797" s="212">
        <f t="shared" si="335"/>
        <v>370</v>
      </c>
      <c r="B797" s="490" t="s">
        <v>836</v>
      </c>
      <c r="C797" s="453">
        <f t="shared" ref="C797:C799" si="344">D797+F797+G797+H797+I797+K797+L797+M797+O797+P797+Q797+R797+S797+W797+V797+X797</f>
        <v>18568961.579999998</v>
      </c>
      <c r="D797" s="472"/>
      <c r="E797" s="467"/>
      <c r="F797" s="467"/>
      <c r="G797" s="466"/>
      <c r="H797" s="473"/>
      <c r="I797" s="473"/>
      <c r="J797" s="467"/>
      <c r="K797" s="472"/>
      <c r="L797" s="466"/>
      <c r="M797" s="474"/>
      <c r="N797" s="474"/>
      <c r="O797" s="474"/>
      <c r="P797" s="823">
        <v>17233375.030000001</v>
      </c>
      <c r="Q797" s="466"/>
      <c r="R797" s="818"/>
      <c r="S797" s="472"/>
      <c r="T797" s="472"/>
      <c r="U797" s="472"/>
      <c r="V797" s="484">
        <v>1206336.25</v>
      </c>
      <c r="W797" s="485">
        <v>129250.3</v>
      </c>
      <c r="X797" s="467"/>
      <c r="Y797" s="461">
        <f>C797*69%</f>
        <v>12812583.49</v>
      </c>
      <c r="Z797" s="461">
        <f>C797*31%</f>
        <v>5756378.0899999999</v>
      </c>
      <c r="AA797" s="467"/>
      <c r="AB797" s="461"/>
      <c r="AC797" s="476"/>
      <c r="AD797" s="212">
        <v>2024</v>
      </c>
      <c r="AE797" s="212">
        <v>2026</v>
      </c>
      <c r="AF797" s="25"/>
      <c r="AG797" s="262"/>
    </row>
    <row r="798" spans="1:34" s="26" customFormat="1" ht="24" customHeight="1">
      <c r="A798" s="212">
        <f t="shared" si="335"/>
        <v>371</v>
      </c>
      <c r="B798" s="490" t="s">
        <v>837</v>
      </c>
      <c r="C798" s="453">
        <f t="shared" si="344"/>
        <v>46733209.850000001</v>
      </c>
      <c r="D798" s="472"/>
      <c r="E798" s="467"/>
      <c r="F798" s="467"/>
      <c r="G798" s="466"/>
      <c r="H798" s="473"/>
      <c r="I798" s="473"/>
      <c r="J798" s="467"/>
      <c r="K798" s="472"/>
      <c r="L798" s="466"/>
      <c r="M798" s="474"/>
      <c r="N798" s="474"/>
      <c r="O798" s="474"/>
      <c r="P798" s="823">
        <v>18654217.699999999</v>
      </c>
      <c r="Q798" s="466"/>
      <c r="R798" s="818">
        <v>24717670.829999998</v>
      </c>
      <c r="S798" s="472"/>
      <c r="T798" s="472"/>
      <c r="U798" s="472"/>
      <c r="V798" s="484">
        <v>3036032.2</v>
      </c>
      <c r="W798" s="485">
        <v>325289.12</v>
      </c>
      <c r="X798" s="467"/>
      <c r="Y798" s="461">
        <f>C798*69%</f>
        <v>32245914.800000001</v>
      </c>
      <c r="Z798" s="461">
        <f>C798*31%</f>
        <v>14487295.050000001</v>
      </c>
      <c r="AA798" s="467"/>
      <c r="AB798" s="461"/>
      <c r="AC798" s="476"/>
      <c r="AD798" s="212">
        <v>2024</v>
      </c>
      <c r="AE798" s="212">
        <v>2026</v>
      </c>
      <c r="AF798" s="25"/>
      <c r="AG798" s="262"/>
    </row>
    <row r="799" spans="1:34" s="26" customFormat="1" ht="24" customHeight="1">
      <c r="A799" s="212">
        <f t="shared" si="335"/>
        <v>372</v>
      </c>
      <c r="B799" s="490" t="s">
        <v>838</v>
      </c>
      <c r="C799" s="453">
        <f t="shared" si="344"/>
        <v>44453188.600000001</v>
      </c>
      <c r="D799" s="472"/>
      <c r="E799" s="467"/>
      <c r="F799" s="467"/>
      <c r="G799" s="466"/>
      <c r="H799" s="473"/>
      <c r="I799" s="473"/>
      <c r="J799" s="467"/>
      <c r="K799" s="472"/>
      <c r="L799" s="466"/>
      <c r="M799" s="474"/>
      <c r="N799" s="474"/>
      <c r="O799" s="474"/>
      <c r="P799" s="823">
        <v>17744115.170000002</v>
      </c>
      <c r="Q799" s="466"/>
      <c r="R799" s="818">
        <v>23511744.359999999</v>
      </c>
      <c r="S799" s="472"/>
      <c r="T799" s="472"/>
      <c r="U799" s="472"/>
      <c r="V799" s="484">
        <v>2887910.17</v>
      </c>
      <c r="W799" s="485">
        <v>309418.90000000002</v>
      </c>
      <c r="X799" s="467"/>
      <c r="Y799" s="461">
        <f>C799*69%</f>
        <v>30672700.129999999</v>
      </c>
      <c r="Z799" s="461">
        <f>C799*31%</f>
        <v>13780488.470000001</v>
      </c>
      <c r="AA799" s="467"/>
      <c r="AB799" s="461"/>
      <c r="AC799" s="476"/>
      <c r="AD799" s="212">
        <v>2024</v>
      </c>
      <c r="AE799" s="212">
        <v>2026</v>
      </c>
      <c r="AF799" s="25"/>
      <c r="AG799" s="262"/>
    </row>
    <row r="800" spans="1:34" s="26" customFormat="1" ht="24" customHeight="1">
      <c r="A800" s="212">
        <f t="shared" si="335"/>
        <v>373</v>
      </c>
      <c r="B800" s="312" t="s">
        <v>839</v>
      </c>
      <c r="C800" s="213">
        <f t="shared" ref="C800" si="345">D800+F800+G800+H800+I800+K800+L800+M800+O800+P800+Q800+R800+S800+W800+V800+X800</f>
        <v>18951490.43</v>
      </c>
      <c r="D800" s="214"/>
      <c r="E800" s="278"/>
      <c r="F800" s="214"/>
      <c r="G800" s="215"/>
      <c r="H800" s="216"/>
      <c r="I800" s="216"/>
      <c r="J800" s="210"/>
      <c r="K800" s="214"/>
      <c r="L800" s="214"/>
      <c r="M800" s="210"/>
      <c r="N800" s="279"/>
      <c r="O800" s="280"/>
      <c r="P800" s="209"/>
      <c r="Q800" s="214"/>
      <c r="R800" s="813">
        <v>17466811.460000001</v>
      </c>
      <c r="S800" s="216"/>
      <c r="T800" s="216"/>
      <c r="U800" s="216"/>
      <c r="V800" s="272">
        <v>1222676.8</v>
      </c>
      <c r="W800" s="281">
        <v>262002.17</v>
      </c>
      <c r="X800" s="210"/>
      <c r="Y800" s="211">
        <f>C800*59%</f>
        <v>11181379.35</v>
      </c>
      <c r="Z800" s="211">
        <f>C800*41%</f>
        <v>7770111.0800000001</v>
      </c>
      <c r="AA800" s="210"/>
      <c r="AB800" s="211"/>
      <c r="AC800" s="212"/>
      <c r="AD800" s="212">
        <v>2024</v>
      </c>
      <c r="AE800" s="212">
        <v>2026</v>
      </c>
      <c r="AF800" s="25"/>
      <c r="AG800" s="262"/>
    </row>
    <row r="801" spans="1:34" s="26" customFormat="1" ht="24" customHeight="1">
      <c r="A801" s="212">
        <f t="shared" si="335"/>
        <v>374</v>
      </c>
      <c r="B801" s="282" t="s">
        <v>233</v>
      </c>
      <c r="C801" s="213">
        <f t="shared" si="336"/>
        <v>11108879.460000001</v>
      </c>
      <c r="D801" s="214"/>
      <c r="E801" s="210"/>
      <c r="F801" s="210"/>
      <c r="G801" s="215"/>
      <c r="H801" s="216"/>
      <c r="I801" s="216"/>
      <c r="J801" s="210"/>
      <c r="K801" s="214"/>
      <c r="L801" s="215"/>
      <c r="M801" s="220"/>
      <c r="N801" s="857">
        <v>3</v>
      </c>
      <c r="O801" s="215">
        <v>10684681.77</v>
      </c>
      <c r="P801" s="824"/>
      <c r="Q801" s="215"/>
      <c r="R801" s="811"/>
      <c r="S801" s="214"/>
      <c r="T801" s="214"/>
      <c r="U801" s="214"/>
      <c r="V801" s="272">
        <v>263927.46000000002</v>
      </c>
      <c r="W801" s="273">
        <v>160270.23000000001</v>
      </c>
      <c r="X801" s="210"/>
      <c r="Y801" s="210"/>
      <c r="Z801" s="210"/>
      <c r="AA801" s="210"/>
      <c r="AB801" s="211">
        <f t="shared" si="337"/>
        <v>11108879.460000001</v>
      </c>
      <c r="AC801" s="212"/>
      <c r="AD801" s="212">
        <v>2024</v>
      </c>
      <c r="AE801" s="212">
        <v>2024</v>
      </c>
      <c r="AF801" s="25"/>
      <c r="AG801" s="91"/>
    </row>
    <row r="802" spans="1:34" s="26" customFormat="1" ht="24" customHeight="1">
      <c r="A802" s="212">
        <f t="shared" si="335"/>
        <v>375</v>
      </c>
      <c r="B802" s="702" t="s">
        <v>739</v>
      </c>
      <c r="C802" s="649">
        <f>D802+F802+G802+H802+I802+K802+L802+M802+O802+P802+Q802+R802+S802+W802+V802+X802</f>
        <v>61801744.920000002</v>
      </c>
      <c r="D802" s="659"/>
      <c r="E802" s="660"/>
      <c r="F802" s="660"/>
      <c r="G802" s="661"/>
      <c r="H802" s="662"/>
      <c r="I802" s="662"/>
      <c r="J802" s="660"/>
      <c r="K802" s="659"/>
      <c r="L802" s="661"/>
      <c r="M802" s="663"/>
      <c r="N802" s="698"/>
      <c r="O802" s="661"/>
      <c r="P802" s="754">
        <v>19857877.420000002</v>
      </c>
      <c r="Q802" s="661"/>
      <c r="R802" s="658">
        <v>37490842.899999999</v>
      </c>
      <c r="S802" s="659"/>
      <c r="T802" s="659"/>
      <c r="U802" s="659"/>
      <c r="V802" s="696">
        <v>4129999.74</v>
      </c>
      <c r="W802" s="697">
        <v>323024.86</v>
      </c>
      <c r="X802" s="660"/>
      <c r="Y802" s="654">
        <f>C802*96%</f>
        <v>59329675.119999997</v>
      </c>
      <c r="Z802" s="654">
        <f>C802*4%</f>
        <v>2472069.7999999998</v>
      </c>
      <c r="AA802" s="660"/>
      <c r="AB802" s="654"/>
      <c r="AC802" s="648"/>
      <c r="AD802" s="648">
        <v>2024</v>
      </c>
      <c r="AE802" s="648">
        <v>2026</v>
      </c>
      <c r="AF802" s="25"/>
      <c r="AG802" s="262"/>
    </row>
    <row r="803" spans="1:34" s="26" customFormat="1" ht="24" customHeight="1">
      <c r="A803" s="212">
        <f t="shared" si="335"/>
        <v>376</v>
      </c>
      <c r="B803" s="393" t="s">
        <v>740</v>
      </c>
      <c r="C803" s="232">
        <f>D803+F803+G803+H803+I803+K803+L803+M803+O803+P803+Q803+R803+S803+W803+V803+X803</f>
        <v>45202452.030000001</v>
      </c>
      <c r="D803" s="228"/>
      <c r="E803" s="229"/>
      <c r="F803" s="229"/>
      <c r="G803" s="182"/>
      <c r="H803" s="234"/>
      <c r="I803" s="234"/>
      <c r="J803" s="229"/>
      <c r="K803" s="228"/>
      <c r="L803" s="182"/>
      <c r="M803" s="185"/>
      <c r="N803" s="195"/>
      <c r="O803" s="182"/>
      <c r="P803" s="825"/>
      <c r="Q803" s="182"/>
      <c r="R803" s="794">
        <v>42790560.68</v>
      </c>
      <c r="S803" s="228"/>
      <c r="T803" s="228"/>
      <c r="U803" s="228"/>
      <c r="V803" s="268">
        <v>2223642.96</v>
      </c>
      <c r="W803" s="302">
        <v>188248.39</v>
      </c>
      <c r="X803" s="229"/>
      <c r="Y803" s="230">
        <f>C803*96%</f>
        <v>43394353.950000003</v>
      </c>
      <c r="Z803" s="230">
        <f>C803*4%</f>
        <v>1808098.08</v>
      </c>
      <c r="AA803" s="229"/>
      <c r="AB803" s="230"/>
      <c r="AC803" s="231"/>
      <c r="AD803" s="231">
        <v>2024</v>
      </c>
      <c r="AE803" s="231">
        <v>2026</v>
      </c>
      <c r="AF803" s="25"/>
      <c r="AG803" s="262"/>
    </row>
    <row r="804" spans="1:34" s="148" customFormat="1" ht="24" customHeight="1">
      <c r="A804" s="883" t="s">
        <v>180</v>
      </c>
      <c r="B804" s="883"/>
      <c r="C804" s="16">
        <f t="shared" ref="C804:AC804" si="346">SUM(C775:C803)</f>
        <v>903426824.38999999</v>
      </c>
      <c r="D804" s="16">
        <f t="shared" si="346"/>
        <v>0</v>
      </c>
      <c r="E804" s="396">
        <f t="shared" si="346"/>
        <v>4</v>
      </c>
      <c r="F804" s="16">
        <f t="shared" si="346"/>
        <v>6355897.5300000003</v>
      </c>
      <c r="G804" s="16">
        <f t="shared" si="346"/>
        <v>0</v>
      </c>
      <c r="H804" s="16">
        <f t="shared" si="346"/>
        <v>0</v>
      </c>
      <c r="I804" s="16">
        <f t="shared" si="346"/>
        <v>0</v>
      </c>
      <c r="J804" s="16">
        <f t="shared" si="346"/>
        <v>0</v>
      </c>
      <c r="K804" s="16">
        <f t="shared" si="346"/>
        <v>0</v>
      </c>
      <c r="L804" s="16">
        <f t="shared" si="346"/>
        <v>0</v>
      </c>
      <c r="M804" s="16">
        <f t="shared" si="346"/>
        <v>0</v>
      </c>
      <c r="N804" s="396">
        <f t="shared" si="346"/>
        <v>3</v>
      </c>
      <c r="O804" s="16">
        <f t="shared" si="346"/>
        <v>10684681.77</v>
      </c>
      <c r="P804" s="16">
        <f t="shared" si="346"/>
        <v>266187853.21000001</v>
      </c>
      <c r="Q804" s="16">
        <f t="shared" si="346"/>
        <v>0</v>
      </c>
      <c r="R804" s="16">
        <f t="shared" si="346"/>
        <v>563783593.16999996</v>
      </c>
      <c r="S804" s="16">
        <f t="shared" si="346"/>
        <v>0</v>
      </c>
      <c r="T804" s="16">
        <f t="shared" si="346"/>
        <v>0</v>
      </c>
      <c r="U804" s="16">
        <f t="shared" si="346"/>
        <v>0</v>
      </c>
      <c r="V804" s="16">
        <f t="shared" si="346"/>
        <v>48258973.469999999</v>
      </c>
      <c r="W804" s="16">
        <f t="shared" si="346"/>
        <v>8155825.2400000002</v>
      </c>
      <c r="X804" s="16">
        <f t="shared" si="346"/>
        <v>0</v>
      </c>
      <c r="Y804" s="16">
        <f t="shared" si="346"/>
        <v>489474684.97000003</v>
      </c>
      <c r="Z804" s="16">
        <f t="shared" si="346"/>
        <v>189080465.84</v>
      </c>
      <c r="AA804" s="16">
        <f t="shared" si="346"/>
        <v>0</v>
      </c>
      <c r="AB804" s="16">
        <f t="shared" si="346"/>
        <v>224871673.58000001</v>
      </c>
      <c r="AC804" s="16">
        <f t="shared" si="346"/>
        <v>0</v>
      </c>
      <c r="AD804" s="798" t="s">
        <v>29</v>
      </c>
      <c r="AE804" s="798" t="s">
        <v>29</v>
      </c>
      <c r="AF804" s="146"/>
      <c r="AG804" s="147"/>
    </row>
    <row r="805" spans="1:34" ht="24" customHeight="1">
      <c r="A805" s="888" t="s">
        <v>368</v>
      </c>
      <c r="B805" s="888"/>
      <c r="C805" s="888"/>
      <c r="D805" s="888"/>
      <c r="E805" s="888"/>
      <c r="F805" s="888"/>
      <c r="G805" s="888"/>
      <c r="H805" s="888"/>
      <c r="I805" s="888"/>
      <c r="J805" s="888"/>
      <c r="K805" s="888"/>
      <c r="L805" s="888"/>
      <c r="M805" s="888"/>
      <c r="N805" s="888"/>
      <c r="O805" s="888"/>
      <c r="P805" s="888"/>
      <c r="Q805" s="888"/>
      <c r="R805" s="888"/>
      <c r="S805" s="888"/>
      <c r="T805" s="889"/>
      <c r="U805" s="889"/>
      <c r="V805" s="888"/>
      <c r="W805" s="888"/>
      <c r="X805" s="888"/>
      <c r="Y805" s="888"/>
      <c r="Z805" s="888"/>
      <c r="AA805" s="888"/>
      <c r="AB805" s="888"/>
      <c r="AC805" s="888"/>
      <c r="AD805" s="888"/>
      <c r="AE805" s="888"/>
      <c r="AF805" s="808"/>
      <c r="AG805" s="806"/>
    </row>
    <row r="806" spans="1:34" ht="24" customHeight="1">
      <c r="A806" s="212">
        <f>A803+1</f>
        <v>377</v>
      </c>
      <c r="B806" s="53" t="s">
        <v>573</v>
      </c>
      <c r="C806" s="283">
        <f t="shared" ref="C806:C811" si="347">D806+F806+G806+H806+I806+K806+L806+M806+O806+P806+Q806+R806+S806+W806+V806+X806</f>
        <v>1861001.14</v>
      </c>
      <c r="D806" s="270"/>
      <c r="E806" s="409">
        <v>1</v>
      </c>
      <c r="F806" s="270">
        <v>1612809</v>
      </c>
      <c r="G806" s="284"/>
      <c r="H806" s="270"/>
      <c r="I806" s="270"/>
      <c r="J806" s="270"/>
      <c r="K806" s="270"/>
      <c r="L806" s="284"/>
      <c r="M806" s="284"/>
      <c r="N806" s="284"/>
      <c r="O806" s="284"/>
      <c r="P806" s="270"/>
      <c r="Q806" s="270"/>
      <c r="R806" s="270"/>
      <c r="S806" s="270"/>
      <c r="T806" s="270"/>
      <c r="U806" s="270"/>
      <c r="V806" s="285">
        <v>224000</v>
      </c>
      <c r="W806" s="286">
        <v>24192.14</v>
      </c>
      <c r="X806" s="270"/>
      <c r="Y806" s="270"/>
      <c r="Z806" s="270"/>
      <c r="AA806" s="270"/>
      <c r="AB806" s="270">
        <f t="shared" ref="AB806" si="348">C806</f>
        <v>1861001.14</v>
      </c>
      <c r="AC806" s="287"/>
      <c r="AD806" s="212">
        <v>2024</v>
      </c>
      <c r="AE806" s="212">
        <v>2025</v>
      </c>
      <c r="AF806" s="261"/>
      <c r="AG806" s="271"/>
    </row>
    <row r="807" spans="1:34" ht="24" customHeight="1">
      <c r="A807" s="212">
        <f>A806+1</f>
        <v>378</v>
      </c>
      <c r="B807" s="288" t="s">
        <v>741</v>
      </c>
      <c r="C807" s="283">
        <f t="shared" si="347"/>
        <v>24552912.07</v>
      </c>
      <c r="D807" s="270"/>
      <c r="E807" s="409"/>
      <c r="F807" s="270"/>
      <c r="G807" s="284"/>
      <c r="H807" s="270"/>
      <c r="I807" s="270"/>
      <c r="J807" s="270"/>
      <c r="K807" s="270"/>
      <c r="L807" s="284"/>
      <c r="M807" s="284"/>
      <c r="N807" s="284"/>
      <c r="O807" s="284"/>
      <c r="P807" s="209">
        <v>8694275.3000000007</v>
      </c>
      <c r="Q807" s="270"/>
      <c r="R807" s="813">
        <v>13935136.75</v>
      </c>
      <c r="S807" s="270"/>
      <c r="T807" s="270"/>
      <c r="U807" s="270"/>
      <c r="V807" s="272">
        <f>608599.27+975459.57</f>
        <v>1584058.84</v>
      </c>
      <c r="W807" s="211">
        <f>130414.13+209027.05</f>
        <v>339441.18</v>
      </c>
      <c r="X807" s="270"/>
      <c r="Y807" s="211">
        <f>(9433288.7*71%)+(15119623.37*69%)</f>
        <v>17130175.100000001</v>
      </c>
      <c r="Z807" s="211">
        <f>(9433288.7*29%)+(15119623.37*31%)</f>
        <v>7422736.9699999997</v>
      </c>
      <c r="AA807" s="270"/>
      <c r="AB807" s="270"/>
      <c r="AC807" s="287"/>
      <c r="AD807" s="212">
        <v>2024</v>
      </c>
      <c r="AE807" s="212">
        <v>2025</v>
      </c>
      <c r="AF807" s="261"/>
      <c r="AG807" s="262"/>
      <c r="AH807" s="262"/>
    </row>
    <row r="808" spans="1:34" ht="24" customHeight="1">
      <c r="A808" s="212">
        <f t="shared" ref="A808:A829" si="349">A807+1</f>
        <v>379</v>
      </c>
      <c r="B808" s="53" t="s">
        <v>566</v>
      </c>
      <c r="C808" s="283">
        <f t="shared" si="347"/>
        <v>26324517.170000002</v>
      </c>
      <c r="D808" s="270"/>
      <c r="E808" s="409">
        <v>1</v>
      </c>
      <c r="F808" s="270">
        <v>1612809</v>
      </c>
      <c r="G808" s="284"/>
      <c r="H808" s="270"/>
      <c r="I808" s="270"/>
      <c r="J808" s="270"/>
      <c r="K808" s="270"/>
      <c r="L808" s="284"/>
      <c r="M808" s="284"/>
      <c r="N808" s="284"/>
      <c r="O808" s="284"/>
      <c r="P808" s="209">
        <v>8662619.8399999999</v>
      </c>
      <c r="Q808" s="270"/>
      <c r="R808" s="811">
        <v>13884399.539999999</v>
      </c>
      <c r="S808" s="270"/>
      <c r="T808" s="270"/>
      <c r="U808" s="270"/>
      <c r="V808" s="285">
        <f>224000+606383.39+971907.97</f>
        <v>1802291.36</v>
      </c>
      <c r="W808" s="286">
        <f>24192.14+129939.3+208265.99</f>
        <v>362397.43</v>
      </c>
      <c r="X808" s="270"/>
      <c r="Y808" s="270">
        <f>(9398942.53*71%)+(15064573.5*69%)</f>
        <v>17067804.91</v>
      </c>
      <c r="Z808" s="270">
        <f>(9398942.53*29%)+(15064573.5*31%)</f>
        <v>7395711.1200000001</v>
      </c>
      <c r="AA808" s="270"/>
      <c r="AB808" s="270">
        <f>C808-Y808-Z808</f>
        <v>1861001.14</v>
      </c>
      <c r="AC808" s="287"/>
      <c r="AD808" s="212">
        <v>2024</v>
      </c>
      <c r="AE808" s="212">
        <v>2025</v>
      </c>
      <c r="AF808" s="261"/>
      <c r="AG808" s="262"/>
      <c r="AH808" s="262"/>
    </row>
    <row r="809" spans="1:34" ht="24" customHeight="1">
      <c r="A809" s="212">
        <f t="shared" si="349"/>
        <v>380</v>
      </c>
      <c r="B809" s="288" t="s">
        <v>742</v>
      </c>
      <c r="C809" s="283">
        <f t="shared" si="347"/>
        <v>24581028.579999998</v>
      </c>
      <c r="D809" s="270"/>
      <c r="E809" s="409"/>
      <c r="F809" s="270"/>
      <c r="G809" s="284"/>
      <c r="H809" s="270"/>
      <c r="I809" s="270"/>
      <c r="J809" s="270"/>
      <c r="K809" s="270"/>
      <c r="L809" s="284"/>
      <c r="M809" s="284"/>
      <c r="N809" s="284"/>
      <c r="O809" s="284"/>
      <c r="P809" s="209">
        <v>8704231.4600000009</v>
      </c>
      <c r="Q809" s="270"/>
      <c r="R809" s="813">
        <v>13951094.42</v>
      </c>
      <c r="S809" s="270"/>
      <c r="T809" s="270"/>
      <c r="U809" s="270"/>
      <c r="V809" s="272">
        <f>609296.2+976576.61</f>
        <v>1585872.81</v>
      </c>
      <c r="W809" s="211">
        <f>130563.47+209266.42</f>
        <v>339829.89</v>
      </c>
      <c r="X809" s="270"/>
      <c r="Y809" s="211">
        <f>(9444091.13*71%)+(15136937.45*69%)</f>
        <v>17149791.539999999</v>
      </c>
      <c r="Z809" s="211">
        <f>(9444091.13*29%)+(15136937.45*31%)</f>
        <v>7431237.04</v>
      </c>
      <c r="AA809" s="270"/>
      <c r="AB809" s="270"/>
      <c r="AC809" s="287"/>
      <c r="AD809" s="212">
        <v>2024</v>
      </c>
      <c r="AE809" s="212">
        <v>2025</v>
      </c>
      <c r="AF809" s="261"/>
      <c r="AG809" s="262"/>
      <c r="AH809" s="262"/>
    </row>
    <row r="810" spans="1:34" ht="24" customHeight="1">
      <c r="A810" s="648">
        <f t="shared" si="349"/>
        <v>381</v>
      </c>
      <c r="B810" s="53" t="s">
        <v>567</v>
      </c>
      <c r="C810" s="703">
        <f t="shared" si="347"/>
        <v>25768378.010000002</v>
      </c>
      <c r="D810" s="650"/>
      <c r="E810" s="409">
        <v>1</v>
      </c>
      <c r="F810" s="650">
        <v>1612809</v>
      </c>
      <c r="G810" s="651"/>
      <c r="H810" s="650"/>
      <c r="I810" s="650"/>
      <c r="J810" s="650"/>
      <c r="K810" s="650"/>
      <c r="L810" s="651"/>
      <c r="M810" s="651"/>
      <c r="N810" s="651"/>
      <c r="O810" s="651"/>
      <c r="P810" s="650"/>
      <c r="Q810" s="650"/>
      <c r="R810" s="658">
        <f>10579663.75+12428441.7</f>
        <v>23008105.449999999</v>
      </c>
      <c r="S810" s="650"/>
      <c r="T810" s="650"/>
      <c r="U810" s="650"/>
      <c r="V810" s="704">
        <f>224000+740576.46</f>
        <v>964576.46</v>
      </c>
      <c r="W810" s="705">
        <f>24192.14+158694.96</f>
        <v>182887.1</v>
      </c>
      <c r="X810" s="650"/>
      <c r="Y810" s="654">
        <f>11478935.17*69%</f>
        <v>7920465.2699999996</v>
      </c>
      <c r="Z810" s="654">
        <f>11478935.17*31%</f>
        <v>3558469.9</v>
      </c>
      <c r="AA810" s="650"/>
      <c r="AB810" s="650">
        <f>C810-Y810-Z810</f>
        <v>14289442.84</v>
      </c>
      <c r="AC810" s="652"/>
      <c r="AD810" s="648">
        <v>2024</v>
      </c>
      <c r="AE810" s="648">
        <v>2025</v>
      </c>
      <c r="AF810" s="679"/>
      <c r="AG810" s="262"/>
    </row>
    <row r="811" spans="1:34" ht="24" customHeight="1">
      <c r="A811" s="212">
        <f t="shared" si="349"/>
        <v>382</v>
      </c>
      <c r="B811" s="53" t="s">
        <v>568</v>
      </c>
      <c r="C811" s="283">
        <f t="shared" si="347"/>
        <v>1861001.14</v>
      </c>
      <c r="D811" s="270"/>
      <c r="E811" s="409">
        <v>1</v>
      </c>
      <c r="F811" s="270">
        <v>1612809</v>
      </c>
      <c r="G811" s="284"/>
      <c r="H811" s="270"/>
      <c r="I811" s="270"/>
      <c r="J811" s="270"/>
      <c r="K811" s="270"/>
      <c r="L811" s="284"/>
      <c r="M811" s="284"/>
      <c r="N811" s="284"/>
      <c r="O811" s="284"/>
      <c r="P811" s="270"/>
      <c r="Q811" s="270"/>
      <c r="R811" s="813"/>
      <c r="S811" s="270"/>
      <c r="T811" s="270"/>
      <c r="U811" s="270"/>
      <c r="V811" s="285">
        <v>224000</v>
      </c>
      <c r="W811" s="286">
        <v>24192.14</v>
      </c>
      <c r="X811" s="270"/>
      <c r="Y811" s="270"/>
      <c r="Z811" s="270"/>
      <c r="AA811" s="270"/>
      <c r="AB811" s="270">
        <f t="shared" ref="AB811" si="350">C811</f>
        <v>1861001.14</v>
      </c>
      <c r="AC811" s="287"/>
      <c r="AD811" s="212">
        <v>2024</v>
      </c>
      <c r="AE811" s="212">
        <v>2025</v>
      </c>
      <c r="AF811" s="261"/>
      <c r="AG811" s="271"/>
    </row>
    <row r="812" spans="1:34" ht="24" customHeight="1">
      <c r="A812" s="212">
        <f t="shared" si="349"/>
        <v>383</v>
      </c>
      <c r="B812" s="53" t="s">
        <v>565</v>
      </c>
      <c r="C812" s="283">
        <f>D812+F812+G812+H812+I812+K812+L812+M812+O812+P812+Q812+R812+S812+W812+V812+X812</f>
        <v>1861001.14</v>
      </c>
      <c r="D812" s="270"/>
      <c r="E812" s="409">
        <v>1</v>
      </c>
      <c r="F812" s="270">
        <v>1612809</v>
      </c>
      <c r="G812" s="284"/>
      <c r="H812" s="270"/>
      <c r="I812" s="270"/>
      <c r="J812" s="270"/>
      <c r="K812" s="270"/>
      <c r="L812" s="284"/>
      <c r="M812" s="284"/>
      <c r="N812" s="284"/>
      <c r="O812" s="284"/>
      <c r="P812" s="270"/>
      <c r="Q812" s="270"/>
      <c r="R812" s="813"/>
      <c r="S812" s="270"/>
      <c r="T812" s="270"/>
      <c r="U812" s="270"/>
      <c r="V812" s="285">
        <v>224000</v>
      </c>
      <c r="W812" s="286">
        <v>24192.14</v>
      </c>
      <c r="X812" s="270"/>
      <c r="Y812" s="270"/>
      <c r="Z812" s="270"/>
      <c r="AA812" s="270"/>
      <c r="AB812" s="270">
        <f>C812</f>
        <v>1861001.14</v>
      </c>
      <c r="AC812" s="287"/>
      <c r="AD812" s="212">
        <v>2024</v>
      </c>
      <c r="AE812" s="212">
        <v>2025</v>
      </c>
      <c r="AF812" s="261"/>
      <c r="AG812" s="271"/>
    </row>
    <row r="813" spans="1:34" ht="24" customHeight="1">
      <c r="A813" s="212">
        <f t="shared" si="349"/>
        <v>384</v>
      </c>
      <c r="B813" s="53" t="s">
        <v>569</v>
      </c>
      <c r="C813" s="283">
        <f t="shared" ref="C813:C819" si="351">D813+F813+G813+H813+I813+K813+L813+M813+O813+P813+Q813+R813+S813+W813+V813+X813</f>
        <v>1861001.14</v>
      </c>
      <c r="D813" s="270"/>
      <c r="E813" s="409">
        <v>1</v>
      </c>
      <c r="F813" s="270">
        <v>1612809</v>
      </c>
      <c r="G813" s="284"/>
      <c r="H813" s="270"/>
      <c r="I813" s="270"/>
      <c r="J813" s="270"/>
      <c r="K813" s="270"/>
      <c r="L813" s="284"/>
      <c r="M813" s="284"/>
      <c r="N813" s="284"/>
      <c r="O813" s="284"/>
      <c r="P813" s="270"/>
      <c r="Q813" s="270"/>
      <c r="R813" s="813"/>
      <c r="S813" s="270"/>
      <c r="T813" s="270"/>
      <c r="U813" s="270"/>
      <c r="V813" s="285">
        <v>224000</v>
      </c>
      <c r="W813" s="286">
        <v>24192.14</v>
      </c>
      <c r="X813" s="270"/>
      <c r="Y813" s="270"/>
      <c r="Z813" s="270"/>
      <c r="AA813" s="270"/>
      <c r="AB813" s="270">
        <f t="shared" ref="AB813:AB814" si="352">C813</f>
        <v>1861001.14</v>
      </c>
      <c r="AC813" s="287"/>
      <c r="AD813" s="212">
        <v>2024</v>
      </c>
      <c r="AE813" s="212">
        <v>2025</v>
      </c>
      <c r="AF813" s="261"/>
      <c r="AG813" s="271"/>
    </row>
    <row r="814" spans="1:34" ht="24" customHeight="1">
      <c r="A814" s="212">
        <f t="shared" si="349"/>
        <v>385</v>
      </c>
      <c r="B814" s="53" t="s">
        <v>570</v>
      </c>
      <c r="C814" s="283">
        <f t="shared" si="351"/>
        <v>1861001.14</v>
      </c>
      <c r="D814" s="270"/>
      <c r="E814" s="409">
        <v>1</v>
      </c>
      <c r="F814" s="270">
        <v>1612809</v>
      </c>
      <c r="G814" s="284"/>
      <c r="H814" s="270"/>
      <c r="I814" s="270"/>
      <c r="J814" s="270"/>
      <c r="K814" s="270"/>
      <c r="L814" s="284"/>
      <c r="M814" s="284"/>
      <c r="N814" s="284"/>
      <c r="O814" s="284"/>
      <c r="P814" s="270"/>
      <c r="Q814" s="270"/>
      <c r="R814" s="813"/>
      <c r="S814" s="270"/>
      <c r="T814" s="270"/>
      <c r="U814" s="270"/>
      <c r="V814" s="285">
        <v>224000</v>
      </c>
      <c r="W814" s="286">
        <v>24192.14</v>
      </c>
      <c r="X814" s="270"/>
      <c r="Y814" s="270"/>
      <c r="Z814" s="270"/>
      <c r="AA814" s="270"/>
      <c r="AB814" s="270">
        <f t="shared" si="352"/>
        <v>1861001.14</v>
      </c>
      <c r="AC814" s="287"/>
      <c r="AD814" s="212">
        <v>2024</v>
      </c>
      <c r="AE814" s="212">
        <v>2025</v>
      </c>
      <c r="AF814" s="261"/>
      <c r="AG814" s="271"/>
    </row>
    <row r="815" spans="1:34" s="26" customFormat="1" ht="24" customHeight="1">
      <c r="A815" s="212">
        <f t="shared" si="349"/>
        <v>386</v>
      </c>
      <c r="B815" s="288" t="s">
        <v>840</v>
      </c>
      <c r="C815" s="213">
        <f t="shared" si="351"/>
        <v>14879890.09</v>
      </c>
      <c r="D815" s="214"/>
      <c r="E815" s="410"/>
      <c r="F815" s="214"/>
      <c r="G815" s="215"/>
      <c r="H815" s="216"/>
      <c r="I815" s="216"/>
      <c r="J815" s="210"/>
      <c r="K815" s="214"/>
      <c r="L815" s="215"/>
      <c r="M815" s="220"/>
      <c r="N815" s="220"/>
      <c r="O815" s="220"/>
      <c r="P815" s="215"/>
      <c r="Q815" s="215"/>
      <c r="R815" s="811">
        <v>13714184.41</v>
      </c>
      <c r="S815" s="214"/>
      <c r="T815" s="214"/>
      <c r="U815" s="214"/>
      <c r="V815" s="272">
        <v>959992.91</v>
      </c>
      <c r="W815" s="211">
        <v>205712.77</v>
      </c>
      <c r="X815" s="210"/>
      <c r="Y815" s="211">
        <f t="shared" ref="Y815" si="353">C815*69%</f>
        <v>10267124.16</v>
      </c>
      <c r="Z815" s="211">
        <f t="shared" ref="Z815" si="354">C815*31%</f>
        <v>4612765.93</v>
      </c>
      <c r="AA815" s="210"/>
      <c r="AB815" s="211"/>
      <c r="AC815" s="212"/>
      <c r="AD815" s="212">
        <v>2024</v>
      </c>
      <c r="AE815" s="212">
        <v>2025</v>
      </c>
      <c r="AF815" s="91"/>
      <c r="AG815" s="262"/>
    </row>
    <row r="816" spans="1:34" ht="24" customHeight="1">
      <c r="A816" s="212">
        <f t="shared" si="349"/>
        <v>387</v>
      </c>
      <c r="B816" s="288" t="s">
        <v>743</v>
      </c>
      <c r="C816" s="283">
        <f t="shared" si="351"/>
        <v>24427160.550000001</v>
      </c>
      <c r="D816" s="270"/>
      <c r="E816" s="409"/>
      <c r="F816" s="270"/>
      <c r="G816" s="284"/>
      <c r="H816" s="270"/>
      <c r="I816" s="270"/>
      <c r="J816" s="270"/>
      <c r="K816" s="270"/>
      <c r="L816" s="284"/>
      <c r="M816" s="284"/>
      <c r="N816" s="284"/>
      <c r="O816" s="284"/>
      <c r="P816" s="209">
        <v>8721585.1300000008</v>
      </c>
      <c r="Q816" s="270"/>
      <c r="R816" s="813">
        <v>13791926.9</v>
      </c>
      <c r="S816" s="270"/>
      <c r="T816" s="270"/>
      <c r="U816" s="270"/>
      <c r="V816" s="272">
        <f>610510.96+965434.88</f>
        <v>1575945.84</v>
      </c>
      <c r="W816" s="211">
        <f>130823.78+206878.9</f>
        <v>337702.68</v>
      </c>
      <c r="X816" s="270"/>
      <c r="Y816" s="211">
        <f>(9462919.87*71%)+(14964240.68*69%)</f>
        <v>17043999.18</v>
      </c>
      <c r="Z816" s="211">
        <f>(9462919.87*29%)+(14964240.68*31%)</f>
        <v>7383161.3700000001</v>
      </c>
      <c r="AA816" s="270"/>
      <c r="AB816" s="270"/>
      <c r="AC816" s="287"/>
      <c r="AD816" s="212">
        <v>2024</v>
      </c>
      <c r="AE816" s="212">
        <v>2025</v>
      </c>
      <c r="AF816" s="261"/>
      <c r="AG816" s="262"/>
      <c r="AH816" s="262"/>
    </row>
    <row r="817" spans="1:34" ht="24" customHeight="1">
      <c r="A817" s="231">
        <f t="shared" si="349"/>
        <v>388</v>
      </c>
      <c r="B817" s="375" t="s">
        <v>745</v>
      </c>
      <c r="C817" s="291">
        <f t="shared" si="351"/>
        <v>53895524.149999999</v>
      </c>
      <c r="D817" s="293"/>
      <c r="E817" s="403"/>
      <c r="F817" s="293"/>
      <c r="G817" s="296"/>
      <c r="H817" s="293"/>
      <c r="I817" s="293"/>
      <c r="J817" s="293"/>
      <c r="K817" s="293"/>
      <c r="L817" s="296"/>
      <c r="M817" s="296"/>
      <c r="N817" s="296"/>
      <c r="O817" s="296"/>
      <c r="P817" s="236">
        <v>21905098.620000001</v>
      </c>
      <c r="Q817" s="298"/>
      <c r="R817" s="819">
        <v>29102334.629999999</v>
      </c>
      <c r="S817" s="293"/>
      <c r="T817" s="293"/>
      <c r="U817" s="293"/>
      <c r="V817" s="268">
        <v>2356671.73</v>
      </c>
      <c r="W817" s="230">
        <v>531419.17000000004</v>
      </c>
      <c r="X817" s="293"/>
      <c r="Y817" s="293">
        <f>C817*71%</f>
        <v>38265822.149999999</v>
      </c>
      <c r="Z817" s="293">
        <f>C817*29%</f>
        <v>15629702</v>
      </c>
      <c r="AA817" s="293"/>
      <c r="AB817" s="293"/>
      <c r="AC817" s="800"/>
      <c r="AD817" s="231">
        <v>2024</v>
      </c>
      <c r="AE817" s="231">
        <v>2025</v>
      </c>
      <c r="AF817" s="365"/>
      <c r="AG817" s="262"/>
    </row>
    <row r="818" spans="1:34" ht="24" customHeight="1">
      <c r="A818" s="231">
        <f t="shared" si="349"/>
        <v>389</v>
      </c>
      <c r="B818" s="53" t="s">
        <v>571</v>
      </c>
      <c r="C818" s="291">
        <f t="shared" si="351"/>
        <v>1861001.14</v>
      </c>
      <c r="D818" s="293"/>
      <c r="E818" s="403">
        <v>1</v>
      </c>
      <c r="F818" s="293">
        <v>1612809</v>
      </c>
      <c r="G818" s="296"/>
      <c r="H818" s="293"/>
      <c r="I818" s="293"/>
      <c r="J818" s="293"/>
      <c r="K818" s="293"/>
      <c r="L818" s="296"/>
      <c r="M818" s="296"/>
      <c r="N818" s="296"/>
      <c r="O818" s="296"/>
      <c r="P818" s="293"/>
      <c r="Q818" s="293"/>
      <c r="R818" s="309"/>
      <c r="S818" s="293"/>
      <c r="T818" s="293"/>
      <c r="U818" s="293"/>
      <c r="V818" s="294">
        <v>224000</v>
      </c>
      <c r="W818" s="371">
        <v>24192.14</v>
      </c>
      <c r="X818" s="293"/>
      <c r="Y818" s="293"/>
      <c r="Z818" s="293"/>
      <c r="AA818" s="293"/>
      <c r="AB818" s="293">
        <f t="shared" ref="AB818:AB819" si="355">C818</f>
        <v>1861001.14</v>
      </c>
      <c r="AC818" s="800"/>
      <c r="AD818" s="231">
        <v>2024</v>
      </c>
      <c r="AE818" s="231">
        <v>2025</v>
      </c>
      <c r="AF818" s="365"/>
      <c r="AG818" s="332"/>
    </row>
    <row r="819" spans="1:34" ht="24" customHeight="1">
      <c r="A819" s="231">
        <f t="shared" si="349"/>
        <v>390</v>
      </c>
      <c r="B819" s="53" t="s">
        <v>572</v>
      </c>
      <c r="C819" s="291">
        <f t="shared" si="351"/>
        <v>1861001.14</v>
      </c>
      <c r="D819" s="293"/>
      <c r="E819" s="403">
        <v>1</v>
      </c>
      <c r="F819" s="293">
        <v>1612809</v>
      </c>
      <c r="G819" s="296"/>
      <c r="H819" s="293"/>
      <c r="I819" s="293"/>
      <c r="J819" s="293"/>
      <c r="K819" s="293"/>
      <c r="L819" s="296"/>
      <c r="M819" s="296"/>
      <c r="N819" s="408"/>
      <c r="O819" s="296"/>
      <c r="P819" s="293"/>
      <c r="Q819" s="293"/>
      <c r="R819" s="293"/>
      <c r="S819" s="293"/>
      <c r="T819" s="293"/>
      <c r="U819" s="293"/>
      <c r="V819" s="294">
        <v>224000</v>
      </c>
      <c r="W819" s="371">
        <v>24192.14</v>
      </c>
      <c r="X819" s="293"/>
      <c r="Y819" s="293"/>
      <c r="Z819" s="293"/>
      <c r="AA819" s="293"/>
      <c r="AB819" s="293">
        <f t="shared" si="355"/>
        <v>1861001.14</v>
      </c>
      <c r="AC819" s="800"/>
      <c r="AD819" s="231">
        <v>2024</v>
      </c>
      <c r="AE819" s="231">
        <v>2025</v>
      </c>
      <c r="AF819" s="365"/>
      <c r="AG819" s="332"/>
    </row>
    <row r="820" spans="1:34" s="26" customFormat="1" ht="24" customHeight="1">
      <c r="A820" s="231">
        <f t="shared" si="349"/>
        <v>391</v>
      </c>
      <c r="B820" s="53" t="s">
        <v>152</v>
      </c>
      <c r="C820" s="232">
        <f>D820+F820+G820+H820+I820+K820+L820+M820+O820+P820+Q820+R820+S820+W820+V820+X820</f>
        <v>11212309.869999999</v>
      </c>
      <c r="D820" s="228"/>
      <c r="E820" s="402">
        <v>2</v>
      </c>
      <c r="F820" s="228">
        <f>F812*E820</f>
        <v>3225618</v>
      </c>
      <c r="G820" s="182"/>
      <c r="H820" s="234"/>
      <c r="I820" s="234"/>
      <c r="J820" s="229"/>
      <c r="K820" s="228"/>
      <c r="L820" s="182"/>
      <c r="M820" s="185"/>
      <c r="N820" s="846">
        <v>2</v>
      </c>
      <c r="O820" s="182">
        <f>3614984*2</f>
        <v>7229968</v>
      </c>
      <c r="P820" s="236"/>
      <c r="Q820" s="228"/>
      <c r="R820" s="229"/>
      <c r="S820" s="234"/>
      <c r="T820" s="234"/>
      <c r="U820" s="234"/>
      <c r="V820" s="268">
        <f>75945.04*2+224000*2</f>
        <v>599890.07999999996</v>
      </c>
      <c r="W820" s="230">
        <v>156833.79</v>
      </c>
      <c r="X820" s="229"/>
      <c r="Y820" s="229"/>
      <c r="Z820" s="229"/>
      <c r="AA820" s="229"/>
      <c r="AB820" s="230">
        <f>C820</f>
        <v>11212309.869999999</v>
      </c>
      <c r="AC820" s="231"/>
      <c r="AD820" s="231">
        <v>2024</v>
      </c>
      <c r="AE820" s="231">
        <v>2025</v>
      </c>
      <c r="AF820" s="25"/>
      <c r="AG820" s="91"/>
    </row>
    <row r="821" spans="1:34" s="26" customFormat="1" ht="24" customHeight="1">
      <c r="A821" s="231">
        <f t="shared" si="349"/>
        <v>392</v>
      </c>
      <c r="B821" s="53" t="s">
        <v>385</v>
      </c>
      <c r="C821" s="232">
        <f>D821+F821+G821+H821+I821+K821+L821+M821+O821+P821+Q821+R821+S821+W821+V821+X821</f>
        <v>7490307.5999999996</v>
      </c>
      <c r="D821" s="228"/>
      <c r="E821" s="402"/>
      <c r="F821" s="228"/>
      <c r="G821" s="182"/>
      <c r="H821" s="234"/>
      <c r="I821" s="234"/>
      <c r="J821" s="229"/>
      <c r="K821" s="228"/>
      <c r="L821" s="182"/>
      <c r="M821" s="185"/>
      <c r="N821" s="858">
        <v>2</v>
      </c>
      <c r="O821" s="373">
        <f>3614984*2</f>
        <v>7229968</v>
      </c>
      <c r="P821" s="236"/>
      <c r="Q821" s="228"/>
      <c r="R821" s="229"/>
      <c r="S821" s="234"/>
      <c r="T821" s="234"/>
      <c r="U821" s="234"/>
      <c r="V821" s="374">
        <f>75945.04*2</f>
        <v>151890.07999999999</v>
      </c>
      <c r="W821" s="230">
        <f>(D821+F821+G821+H821+I821+K821+L821+M821+O821+P821+Q821+R821+S821)*1.5%</f>
        <v>108449.52</v>
      </c>
      <c r="X821" s="229"/>
      <c r="Y821" s="229"/>
      <c r="Z821" s="229"/>
      <c r="AA821" s="229"/>
      <c r="AB821" s="230">
        <f>C821</f>
        <v>7490307.5999999996</v>
      </c>
      <c r="AC821" s="231"/>
      <c r="AD821" s="231">
        <v>2024</v>
      </c>
      <c r="AE821" s="231">
        <v>2024</v>
      </c>
      <c r="AF821" s="25"/>
      <c r="AG821" s="91"/>
    </row>
    <row r="822" spans="1:34" s="26" customFormat="1" ht="24" customHeight="1">
      <c r="A822" s="231">
        <f t="shared" si="349"/>
        <v>393</v>
      </c>
      <c r="B822" s="375" t="s">
        <v>841</v>
      </c>
      <c r="C822" s="232">
        <f t="shared" ref="C822:C824" si="356">D822+F822+G822+H822+I822+K822+L822+M822+O822+P822+Q822+R822+S822+W822+V822+X822</f>
        <v>15585962.83</v>
      </c>
      <c r="D822" s="228"/>
      <c r="E822" s="402"/>
      <c r="F822" s="228"/>
      <c r="G822" s="182"/>
      <c r="H822" s="234"/>
      <c r="I822" s="234"/>
      <c r="J822" s="229"/>
      <c r="K822" s="228"/>
      <c r="L822" s="182"/>
      <c r="M822" s="185"/>
      <c r="N822" s="185"/>
      <c r="O822" s="185"/>
      <c r="P822" s="370">
        <v>14634706.890000001</v>
      </c>
      <c r="Q822" s="182"/>
      <c r="R822" s="228"/>
      <c r="S822" s="228"/>
      <c r="T822" s="228"/>
      <c r="U822" s="228"/>
      <c r="V822" s="268">
        <v>731735.34</v>
      </c>
      <c r="W822" s="230">
        <v>219520.6</v>
      </c>
      <c r="X822" s="229"/>
      <c r="Y822" s="230">
        <f t="shared" ref="Y822" si="357">C822*69%</f>
        <v>10754314.35</v>
      </c>
      <c r="Z822" s="230">
        <f t="shared" ref="Z822" si="358">C822*31%</f>
        <v>4831648.4800000004</v>
      </c>
      <c r="AA822" s="229"/>
      <c r="AB822" s="230"/>
      <c r="AC822" s="231"/>
      <c r="AD822" s="231">
        <v>2024</v>
      </c>
      <c r="AE822" s="231">
        <v>2025</v>
      </c>
      <c r="AF822" s="91"/>
      <c r="AG822" s="262"/>
    </row>
    <row r="823" spans="1:34" s="26" customFormat="1" ht="24" customHeight="1">
      <c r="A823" s="231">
        <f t="shared" si="349"/>
        <v>394</v>
      </c>
      <c r="B823" s="375" t="s">
        <v>744</v>
      </c>
      <c r="C823" s="232">
        <f t="shared" si="356"/>
        <v>15067313.470000001</v>
      </c>
      <c r="D823" s="228"/>
      <c r="E823" s="265"/>
      <c r="F823" s="228"/>
      <c r="G823" s="182"/>
      <c r="H823" s="234"/>
      <c r="I823" s="234"/>
      <c r="J823" s="229"/>
      <c r="K823" s="228"/>
      <c r="L823" s="182"/>
      <c r="M823" s="185"/>
      <c r="N823" s="372"/>
      <c r="O823" s="373"/>
      <c r="P823" s="236">
        <v>13885960.18</v>
      </c>
      <c r="Q823" s="228"/>
      <c r="R823" s="229"/>
      <c r="S823" s="234"/>
      <c r="T823" s="234"/>
      <c r="U823" s="234"/>
      <c r="V823" s="268">
        <v>972017.21</v>
      </c>
      <c r="W823" s="230">
        <v>209336.08</v>
      </c>
      <c r="X823" s="229"/>
      <c r="Y823" s="230">
        <f t="shared" ref="Y823:Y824" si="359">C823*71%</f>
        <v>10697792.560000001</v>
      </c>
      <c r="Z823" s="230">
        <f t="shared" ref="Z823:Z824" si="360">C823*29%</f>
        <v>4369520.91</v>
      </c>
      <c r="AA823" s="229"/>
      <c r="AB823" s="230"/>
      <c r="AC823" s="231"/>
      <c r="AD823" s="231">
        <v>2024</v>
      </c>
      <c r="AE823" s="231">
        <v>2025</v>
      </c>
      <c r="AF823" s="25"/>
      <c r="AG823" s="262"/>
    </row>
    <row r="824" spans="1:34" s="26" customFormat="1" ht="24" customHeight="1">
      <c r="A824" s="231">
        <f t="shared" si="349"/>
        <v>395</v>
      </c>
      <c r="B824" s="375" t="s">
        <v>1267</v>
      </c>
      <c r="C824" s="232">
        <f t="shared" si="356"/>
        <v>15024636.59</v>
      </c>
      <c r="D824" s="228"/>
      <c r="E824" s="265"/>
      <c r="F824" s="228"/>
      <c r="G824" s="182"/>
      <c r="H824" s="234"/>
      <c r="I824" s="234"/>
      <c r="J824" s="229"/>
      <c r="K824" s="228"/>
      <c r="L824" s="182"/>
      <c r="M824" s="185"/>
      <c r="N824" s="372"/>
      <c r="O824" s="373"/>
      <c r="P824" s="236">
        <v>13846629.369999999</v>
      </c>
      <c r="Q824" s="228"/>
      <c r="R824" s="229"/>
      <c r="S824" s="234"/>
      <c r="T824" s="234"/>
      <c r="U824" s="234"/>
      <c r="V824" s="268">
        <v>969264.06</v>
      </c>
      <c r="W824" s="230">
        <v>208743.16</v>
      </c>
      <c r="X824" s="229"/>
      <c r="Y824" s="230">
        <f t="shared" si="359"/>
        <v>10667491.98</v>
      </c>
      <c r="Z824" s="230">
        <f t="shared" si="360"/>
        <v>4357144.6100000003</v>
      </c>
      <c r="AA824" s="229"/>
      <c r="AB824" s="230"/>
      <c r="AC824" s="231"/>
      <c r="AD824" s="231">
        <v>2024</v>
      </c>
      <c r="AE824" s="231">
        <v>2025</v>
      </c>
      <c r="AF824" s="25"/>
      <c r="AG824" s="262"/>
    </row>
    <row r="825" spans="1:34" s="26" customFormat="1" ht="24" customHeight="1">
      <c r="A825" s="212">
        <f t="shared" si="349"/>
        <v>396</v>
      </c>
      <c r="B825" s="288" t="s">
        <v>1268</v>
      </c>
      <c r="C825" s="213">
        <f t="shared" ref="C825:C826" si="361">D825+F825+G825+H825+I825+K825+L825+M825+O825+P825+Q825+R825+S825+W825+V825+X825</f>
        <v>12720350.18</v>
      </c>
      <c r="D825" s="214"/>
      <c r="E825" s="212"/>
      <c r="F825" s="214"/>
      <c r="G825" s="215"/>
      <c r="H825" s="210"/>
      <c r="I825" s="216"/>
      <c r="J825" s="210"/>
      <c r="K825" s="214"/>
      <c r="L825" s="215"/>
      <c r="M825" s="220"/>
      <c r="N825" s="220"/>
      <c r="O825" s="220"/>
      <c r="P825" s="209">
        <f>3163.7*3727.29</f>
        <v>11792027.369999999</v>
      </c>
      <c r="Q825" s="277"/>
      <c r="R825" s="210"/>
      <c r="S825" s="210"/>
      <c r="T825" s="210"/>
      <c r="U825" s="210"/>
      <c r="V825" s="272">
        <v>751442.4</v>
      </c>
      <c r="W825" s="211">
        <f t="shared" ref="W825" si="362">(D825+F825+G825+H825+I825+K825+L825+M825+O825+P825+Q825+R825+S825)*1.5%</f>
        <v>176880.41</v>
      </c>
      <c r="X825" s="210"/>
      <c r="Y825" s="210"/>
      <c r="Z825" s="210"/>
      <c r="AA825" s="210"/>
      <c r="AB825" s="211">
        <f t="shared" ref="AB825" si="363">C825</f>
        <v>12720350.18</v>
      </c>
      <c r="AC825" s="212"/>
      <c r="AD825" s="212">
        <v>2024</v>
      </c>
      <c r="AE825" s="212">
        <v>2024</v>
      </c>
      <c r="AF825" s="25"/>
      <c r="AG825" s="91"/>
    </row>
    <row r="826" spans="1:34" s="26" customFormat="1" ht="24" customHeight="1">
      <c r="A826" s="212">
        <f t="shared" si="349"/>
        <v>397</v>
      </c>
      <c r="B826" s="288" t="s">
        <v>1269</v>
      </c>
      <c r="C826" s="213">
        <f t="shared" si="361"/>
        <v>6580276.46</v>
      </c>
      <c r="D826" s="214"/>
      <c r="E826" s="212"/>
      <c r="F826" s="214"/>
      <c r="G826" s="215"/>
      <c r="H826" s="210"/>
      <c r="I826" s="216"/>
      <c r="J826" s="210"/>
      <c r="K826" s="214"/>
      <c r="L826" s="215"/>
      <c r="M826" s="220"/>
      <c r="N826" s="220"/>
      <c r="O826" s="220"/>
      <c r="P826" s="209">
        <v>6064770.9299999997</v>
      </c>
      <c r="Q826" s="277"/>
      <c r="R826" s="210"/>
      <c r="S826" s="210"/>
      <c r="T826" s="210"/>
      <c r="U826" s="210"/>
      <c r="V826" s="272">
        <v>424533.97</v>
      </c>
      <c r="W826" s="211">
        <v>90971.56</v>
      </c>
      <c r="X826" s="210"/>
      <c r="Y826" s="211">
        <f t="shared" ref="Y826" si="364">C826*71%</f>
        <v>4671996.29</v>
      </c>
      <c r="Z826" s="211">
        <f t="shared" ref="Z826" si="365">C826*29%</f>
        <v>1908280.17</v>
      </c>
      <c r="AA826" s="210"/>
      <c r="AB826" s="211"/>
      <c r="AC826" s="212"/>
      <c r="AD826" s="212">
        <v>2024</v>
      </c>
      <c r="AE826" s="212">
        <v>2025</v>
      </c>
      <c r="AF826" s="25"/>
      <c r="AG826" s="262"/>
    </row>
    <row r="827" spans="1:34" s="26" customFormat="1" ht="24" customHeight="1">
      <c r="A827" s="212">
        <f t="shared" si="349"/>
        <v>398</v>
      </c>
      <c r="B827" s="53" t="s">
        <v>1270</v>
      </c>
      <c r="C827" s="213">
        <f>D827+F827+G827+H827+I827+K827+L827+M827+O827+P827+Q827+R827+S827+W827+V827+X827</f>
        <v>3525009.44</v>
      </c>
      <c r="D827" s="214"/>
      <c r="E827" s="278"/>
      <c r="F827" s="214"/>
      <c r="G827" s="215"/>
      <c r="H827" s="216"/>
      <c r="I827" s="216"/>
      <c r="J827" s="210"/>
      <c r="K827" s="214"/>
      <c r="L827" s="215"/>
      <c r="M827" s="220"/>
      <c r="N827" s="857">
        <v>1</v>
      </c>
      <c r="O827" s="215">
        <v>3398093</v>
      </c>
      <c r="P827" s="209"/>
      <c r="Q827" s="214"/>
      <c r="R827" s="210"/>
      <c r="S827" s="216"/>
      <c r="T827" s="216"/>
      <c r="U827" s="216"/>
      <c r="V827" s="272">
        <v>75945.039999999994</v>
      </c>
      <c r="W827" s="211">
        <f>ROUND((D827+F827+G827+H827+I827+K827+L827+M827+O827+P827+Q827+R827+S827)*1.5%,2)</f>
        <v>50971.4</v>
      </c>
      <c r="X827" s="210"/>
      <c r="Y827" s="210"/>
      <c r="Z827" s="210"/>
      <c r="AA827" s="210"/>
      <c r="AB827" s="211">
        <f>C827</f>
        <v>3525009.44</v>
      </c>
      <c r="AC827" s="212"/>
      <c r="AD827" s="212">
        <v>2024</v>
      </c>
      <c r="AE827" s="212">
        <v>2024</v>
      </c>
      <c r="AF827" s="25"/>
      <c r="AG827" s="91"/>
    </row>
    <row r="828" spans="1:34" s="26" customFormat="1" ht="24" customHeight="1">
      <c r="A828" s="212">
        <f t="shared" si="349"/>
        <v>399</v>
      </c>
      <c r="B828" s="53" t="s">
        <v>1271</v>
      </c>
      <c r="C828" s="213">
        <f t="shared" ref="C828:C829" si="366">D828+F828+G828+H828+I828+K828+L828+M828+O828+P828+Q828+R828+S828+W828+V828+X828</f>
        <v>3525009.44</v>
      </c>
      <c r="D828" s="214"/>
      <c r="E828" s="212"/>
      <c r="F828" s="214"/>
      <c r="G828" s="215"/>
      <c r="H828" s="210"/>
      <c r="I828" s="216"/>
      <c r="J828" s="210"/>
      <c r="K828" s="214"/>
      <c r="L828" s="215"/>
      <c r="M828" s="220"/>
      <c r="N828" s="857">
        <v>1</v>
      </c>
      <c r="O828" s="215">
        <v>3398093</v>
      </c>
      <c r="P828" s="209"/>
      <c r="Q828" s="277"/>
      <c r="R828" s="210"/>
      <c r="S828" s="210"/>
      <c r="T828" s="210"/>
      <c r="U828" s="210"/>
      <c r="V828" s="272">
        <v>75945.039999999994</v>
      </c>
      <c r="W828" s="211">
        <f t="shared" ref="W828" si="367">ROUND((D828+F828+G828+H828+I828+K828+L828+M828+O828+P828+Q828+R828+S828)*1.5%,2)</f>
        <v>50971.4</v>
      </c>
      <c r="X828" s="210"/>
      <c r="Y828" s="210"/>
      <c r="Z828" s="210"/>
      <c r="AA828" s="210"/>
      <c r="AB828" s="211">
        <f t="shared" ref="AB828" si="368">C828</f>
        <v>3525009.44</v>
      </c>
      <c r="AC828" s="212"/>
      <c r="AD828" s="212">
        <v>2024</v>
      </c>
      <c r="AE828" s="212">
        <v>2024</v>
      </c>
      <c r="AF828" s="25"/>
      <c r="AG828" s="91"/>
    </row>
    <row r="829" spans="1:34" s="26" customFormat="1" ht="24" customHeight="1">
      <c r="A829" s="231">
        <f t="shared" si="349"/>
        <v>400</v>
      </c>
      <c r="B829" s="53" t="s">
        <v>319</v>
      </c>
      <c r="C829" s="418">
        <f t="shared" si="366"/>
        <v>64696056.600000001</v>
      </c>
      <c r="D829" s="428"/>
      <c r="E829" s="426"/>
      <c r="F829" s="428"/>
      <c r="G829" s="421"/>
      <c r="H829" s="420"/>
      <c r="I829" s="429"/>
      <c r="J829" s="420"/>
      <c r="K829" s="428"/>
      <c r="L829" s="421"/>
      <c r="M829" s="422"/>
      <c r="N829" s="737">
        <v>2</v>
      </c>
      <c r="O829" s="421">
        <f>3398093*2</f>
        <v>6796186</v>
      </c>
      <c r="P829" s="417">
        <v>20334126.899999999</v>
      </c>
      <c r="Q829" s="430"/>
      <c r="R829" s="428">
        <v>32896646.48</v>
      </c>
      <c r="S829" s="425"/>
      <c r="T829" s="425"/>
      <c r="U829" s="425"/>
      <c r="V829" s="431">
        <v>3767160.11</v>
      </c>
      <c r="W829" s="425">
        <v>901937.11</v>
      </c>
      <c r="X829" s="420"/>
      <c r="Y829" s="425">
        <f>(21953176.31*71%)+ (35692861.43*69%)</f>
        <v>40214829.57</v>
      </c>
      <c r="Z829" s="425">
        <f>(21953176.31*29%)+(35692861.43*31%)</f>
        <v>17431208.170000002</v>
      </c>
      <c r="AA829" s="420"/>
      <c r="AB829" s="425">
        <v>7050018.8600000003</v>
      </c>
      <c r="AC829" s="426"/>
      <c r="AD829" s="231">
        <v>2024</v>
      </c>
      <c r="AE829" s="231">
        <v>2025</v>
      </c>
      <c r="AF829" s="25"/>
      <c r="AG829" s="262"/>
      <c r="AH829" s="262"/>
    </row>
    <row r="830" spans="1:34" s="148" customFormat="1" ht="24" customHeight="1">
      <c r="A830" s="883" t="s">
        <v>180</v>
      </c>
      <c r="B830" s="883"/>
      <c r="C830" s="16">
        <f t="shared" ref="C830:AC830" si="369">SUM(C806:C829)</f>
        <v>362883651.07999998</v>
      </c>
      <c r="D830" s="16">
        <f t="shared" si="369"/>
        <v>0</v>
      </c>
      <c r="E830" s="396">
        <f t="shared" si="369"/>
        <v>11</v>
      </c>
      <c r="F830" s="16">
        <f t="shared" si="369"/>
        <v>17740899</v>
      </c>
      <c r="G830" s="16">
        <f t="shared" si="369"/>
        <v>0</v>
      </c>
      <c r="H830" s="16">
        <f t="shared" si="369"/>
        <v>0</v>
      </c>
      <c r="I830" s="16">
        <f t="shared" si="369"/>
        <v>0</v>
      </c>
      <c r="J830" s="16">
        <f t="shared" si="369"/>
        <v>0</v>
      </c>
      <c r="K830" s="16">
        <f t="shared" si="369"/>
        <v>0</v>
      </c>
      <c r="L830" s="16">
        <f t="shared" si="369"/>
        <v>0</v>
      </c>
      <c r="M830" s="16">
        <f t="shared" si="369"/>
        <v>0</v>
      </c>
      <c r="N830" s="845">
        <f t="shared" si="369"/>
        <v>8</v>
      </c>
      <c r="O830" s="16">
        <f t="shared" si="369"/>
        <v>28052308</v>
      </c>
      <c r="P830" s="16">
        <f t="shared" si="369"/>
        <v>137246031.99000001</v>
      </c>
      <c r="Q830" s="16">
        <f t="shared" si="369"/>
        <v>0</v>
      </c>
      <c r="R830" s="16">
        <f t="shared" si="369"/>
        <v>154283828.58000001</v>
      </c>
      <c r="S830" s="16">
        <f t="shared" si="369"/>
        <v>0</v>
      </c>
      <c r="T830" s="16">
        <f t="shared" si="369"/>
        <v>0</v>
      </c>
      <c r="U830" s="16">
        <f t="shared" si="369"/>
        <v>0</v>
      </c>
      <c r="V830" s="16">
        <f t="shared" si="369"/>
        <v>20917233.280000001</v>
      </c>
      <c r="W830" s="16">
        <f t="shared" si="369"/>
        <v>4643350.2300000004</v>
      </c>
      <c r="X830" s="16">
        <f t="shared" si="369"/>
        <v>0</v>
      </c>
      <c r="Y830" s="16">
        <f t="shared" si="369"/>
        <v>201851607.06</v>
      </c>
      <c r="Z830" s="16">
        <f t="shared" si="369"/>
        <v>86331586.670000002</v>
      </c>
      <c r="AA830" s="16">
        <f t="shared" si="369"/>
        <v>0</v>
      </c>
      <c r="AB830" s="16">
        <f t="shared" si="369"/>
        <v>74700457.349999994</v>
      </c>
      <c r="AC830" s="16">
        <f t="shared" si="369"/>
        <v>0</v>
      </c>
      <c r="AD830" s="798" t="s">
        <v>29</v>
      </c>
      <c r="AE830" s="798" t="s">
        <v>29</v>
      </c>
      <c r="AF830" s="146"/>
      <c r="AG830" s="147"/>
    </row>
    <row r="831" spans="1:34" ht="24" customHeight="1">
      <c r="A831" s="888" t="s">
        <v>370</v>
      </c>
      <c r="B831" s="888"/>
      <c r="C831" s="888"/>
      <c r="D831" s="888"/>
      <c r="E831" s="888"/>
      <c r="F831" s="888"/>
      <c r="G831" s="888"/>
      <c r="H831" s="888"/>
      <c r="I831" s="888"/>
      <c r="J831" s="888"/>
      <c r="K831" s="888"/>
      <c r="L831" s="888"/>
      <c r="M831" s="888"/>
      <c r="N831" s="888"/>
      <c r="O831" s="888"/>
      <c r="P831" s="888"/>
      <c r="Q831" s="888"/>
      <c r="R831" s="888"/>
      <c r="S831" s="888"/>
      <c r="T831" s="889"/>
      <c r="U831" s="889"/>
      <c r="V831" s="888"/>
      <c r="W831" s="888"/>
      <c r="X831" s="888"/>
      <c r="Y831" s="888"/>
      <c r="Z831" s="888"/>
      <c r="AA831" s="888"/>
      <c r="AB831" s="888"/>
      <c r="AC831" s="888"/>
      <c r="AD831" s="888"/>
      <c r="AE831" s="888"/>
      <c r="AF831" s="808"/>
      <c r="AG831" s="806"/>
    </row>
    <row r="832" spans="1:34" s="26" customFormat="1" ht="24" customHeight="1">
      <c r="A832" s="18">
        <f>A829+1</f>
        <v>401</v>
      </c>
      <c r="B832" s="53" t="s">
        <v>234</v>
      </c>
      <c r="C832" s="4">
        <f>D832+F832+G832+H832+I832+K832+L832+M832+O832+P832+Q832+R832+S832+W832+V832+X832</f>
        <v>7288438.3600000003</v>
      </c>
      <c r="D832" s="9"/>
      <c r="E832" s="36"/>
      <c r="F832" s="9"/>
      <c r="G832" s="12"/>
      <c r="H832" s="13"/>
      <c r="I832" s="13">
        <f>ROUND(1269.2*3990.81,2)</f>
        <v>5065136.05</v>
      </c>
      <c r="J832" s="21"/>
      <c r="K832" s="9"/>
      <c r="L832" s="12">
        <v>2115591.4</v>
      </c>
      <c r="M832" s="22"/>
      <c r="N832" s="807"/>
      <c r="O832" s="12"/>
      <c r="P832" s="3"/>
      <c r="Q832" s="9"/>
      <c r="R832" s="21"/>
      <c r="S832" s="13"/>
      <c r="T832" s="110"/>
      <c r="U832" s="110"/>
      <c r="V832" s="5"/>
      <c r="W832" s="24">
        <v>107710.91</v>
      </c>
      <c r="X832" s="21"/>
      <c r="Y832" s="21"/>
      <c r="Z832" s="21"/>
      <c r="AA832" s="21"/>
      <c r="AB832" s="24">
        <f>C832</f>
        <v>7288438.3600000003</v>
      </c>
      <c r="AC832" s="18"/>
      <c r="AD832" s="18">
        <v>2024</v>
      </c>
      <c r="AE832" s="18">
        <v>2025</v>
      </c>
      <c r="AF832" s="25"/>
      <c r="AG832" s="91"/>
    </row>
    <row r="833" spans="1:33" s="148" customFormat="1" ht="24" customHeight="1">
      <c r="A833" s="883" t="s">
        <v>180</v>
      </c>
      <c r="B833" s="883"/>
      <c r="C833" s="16">
        <f t="shared" ref="C833:AB833" si="370">SUM(C832:C832)</f>
        <v>7288438.3600000003</v>
      </c>
      <c r="D833" s="6">
        <f t="shared" si="370"/>
        <v>0</v>
      </c>
      <c r="E833" s="52">
        <f t="shared" si="370"/>
        <v>0</v>
      </c>
      <c r="F833" s="6">
        <f t="shared" si="370"/>
        <v>0</v>
      </c>
      <c r="G833" s="6">
        <f t="shared" si="370"/>
        <v>0</v>
      </c>
      <c r="H833" s="6">
        <f t="shared" si="370"/>
        <v>0</v>
      </c>
      <c r="I833" s="6">
        <f t="shared" si="370"/>
        <v>5065136.05</v>
      </c>
      <c r="J833" s="6">
        <f t="shared" si="370"/>
        <v>0</v>
      </c>
      <c r="K833" s="6">
        <f t="shared" si="370"/>
        <v>0</v>
      </c>
      <c r="L833" s="6">
        <f t="shared" si="370"/>
        <v>2115591.4</v>
      </c>
      <c r="M833" s="6">
        <f t="shared" si="370"/>
        <v>0</v>
      </c>
      <c r="N833" s="52">
        <f t="shared" si="370"/>
        <v>0</v>
      </c>
      <c r="O833" s="6">
        <f t="shared" si="370"/>
        <v>0</v>
      </c>
      <c r="P833" s="6">
        <f t="shared" si="370"/>
        <v>0</v>
      </c>
      <c r="Q833" s="6">
        <f t="shared" si="370"/>
        <v>0</v>
      </c>
      <c r="R833" s="6">
        <f t="shared" si="370"/>
        <v>0</v>
      </c>
      <c r="S833" s="6">
        <f t="shared" si="370"/>
        <v>0</v>
      </c>
      <c r="T833" s="140"/>
      <c r="U833" s="140"/>
      <c r="V833" s="6">
        <f t="shared" si="370"/>
        <v>0</v>
      </c>
      <c r="W833" s="6">
        <f t="shared" si="370"/>
        <v>107710.91</v>
      </c>
      <c r="X833" s="6">
        <f t="shared" si="370"/>
        <v>0</v>
      </c>
      <c r="Y833" s="6">
        <f t="shared" si="370"/>
        <v>0</v>
      </c>
      <c r="Z833" s="6">
        <f t="shared" si="370"/>
        <v>0</v>
      </c>
      <c r="AA833" s="6">
        <f t="shared" si="370"/>
        <v>0</v>
      </c>
      <c r="AB833" s="6">
        <f t="shared" si="370"/>
        <v>7288438.3600000003</v>
      </c>
      <c r="AC833" s="798"/>
      <c r="AD833" s="798" t="s">
        <v>29</v>
      </c>
      <c r="AE833" s="798" t="s">
        <v>29</v>
      </c>
      <c r="AF833" s="146"/>
      <c r="AG833" s="147"/>
    </row>
    <row r="834" spans="1:33" ht="24" customHeight="1">
      <c r="A834" s="888" t="s">
        <v>372</v>
      </c>
      <c r="B834" s="888"/>
      <c r="C834" s="888"/>
      <c r="D834" s="888"/>
      <c r="E834" s="888"/>
      <c r="F834" s="888"/>
      <c r="G834" s="888"/>
      <c r="H834" s="888"/>
      <c r="I834" s="888"/>
      <c r="J834" s="888"/>
      <c r="K834" s="888"/>
      <c r="L834" s="888"/>
      <c r="M834" s="888"/>
      <c r="N834" s="888"/>
      <c r="O834" s="888"/>
      <c r="P834" s="888"/>
      <c r="Q834" s="888"/>
      <c r="R834" s="888"/>
      <c r="S834" s="888"/>
      <c r="T834" s="889"/>
      <c r="U834" s="889"/>
      <c r="V834" s="888"/>
      <c r="W834" s="888"/>
      <c r="X834" s="888"/>
      <c r="Y834" s="888"/>
      <c r="Z834" s="888"/>
      <c r="AA834" s="888"/>
      <c r="AB834" s="888"/>
      <c r="AC834" s="888"/>
      <c r="AD834" s="888"/>
      <c r="AE834" s="888"/>
      <c r="AF834" s="808"/>
      <c r="AG834" s="806"/>
    </row>
    <row r="835" spans="1:33" s="26" customFormat="1" ht="24" customHeight="1">
      <c r="A835" s="212">
        <f>A832+1</f>
        <v>402</v>
      </c>
      <c r="B835" s="289" t="s">
        <v>241</v>
      </c>
      <c r="C835" s="213">
        <f>D835+F835+G835+H835+I835+K835+L835+M835+O835+P835+Q835+R835+S835+W835+V835+X835</f>
        <v>8245953.4500000002</v>
      </c>
      <c r="D835" s="214"/>
      <c r="E835" s="212"/>
      <c r="F835" s="214"/>
      <c r="G835" s="215"/>
      <c r="H835" s="216"/>
      <c r="I835" s="216"/>
      <c r="J835" s="210"/>
      <c r="K835" s="214"/>
      <c r="L835" s="215"/>
      <c r="M835" s="220"/>
      <c r="N835" s="274"/>
      <c r="O835" s="215"/>
      <c r="P835" s="215"/>
      <c r="Q835" s="215"/>
      <c r="R835" s="214">
        <f>2837.6*2647.87</f>
        <v>7513595.9100000001</v>
      </c>
      <c r="S835" s="214"/>
      <c r="T835" s="214"/>
      <c r="U835" s="214"/>
      <c r="V835" s="272">
        <v>619653.6</v>
      </c>
      <c r="W835" s="211">
        <f>ROUND((D835+F835+G835+H835+I835+L835+K835+M835+O835+P835+Q835+R835+S835)*1.5%,2)</f>
        <v>112703.94</v>
      </c>
      <c r="X835" s="210"/>
      <c r="Y835" s="210"/>
      <c r="Z835" s="210"/>
      <c r="AA835" s="210"/>
      <c r="AB835" s="211">
        <f>C835</f>
        <v>8245953.4500000002</v>
      </c>
      <c r="AC835" s="212"/>
      <c r="AD835" s="212">
        <v>2024</v>
      </c>
      <c r="AE835" s="212">
        <v>2024</v>
      </c>
      <c r="AF835" s="25"/>
      <c r="AG835" s="91"/>
    </row>
    <row r="836" spans="1:33" s="26" customFormat="1" ht="24" customHeight="1">
      <c r="A836" s="212">
        <f>A835+1</f>
        <v>403</v>
      </c>
      <c r="B836" s="289" t="s">
        <v>242</v>
      </c>
      <c r="C836" s="213">
        <f>D836+F836+G836+H836+I836+K836+L836+M836+O836+P836+Q836+R836+S836+W836+V836+X836</f>
        <v>5424047.6600000001</v>
      </c>
      <c r="D836" s="214"/>
      <c r="E836" s="278"/>
      <c r="F836" s="214"/>
      <c r="G836" s="215"/>
      <c r="H836" s="216"/>
      <c r="I836" s="216"/>
      <c r="J836" s="210"/>
      <c r="K836" s="214"/>
      <c r="L836" s="215"/>
      <c r="M836" s="220"/>
      <c r="N836" s="857"/>
      <c r="O836" s="220"/>
      <c r="P836" s="215"/>
      <c r="Q836" s="215"/>
      <c r="R836" s="214">
        <f>1279.2*3842.27</f>
        <v>4915031.78</v>
      </c>
      <c r="S836" s="214"/>
      <c r="T836" s="214"/>
      <c r="U836" s="214"/>
      <c r="V836" s="272">
        <v>435290.4</v>
      </c>
      <c r="W836" s="211">
        <f>ROUND((D836+F836+G836+H836+I836+L836+K836+M836+O836+P836+Q836+R836+S836)*1.5%,2)</f>
        <v>73725.48</v>
      </c>
      <c r="X836" s="210"/>
      <c r="Y836" s="210"/>
      <c r="Z836" s="210"/>
      <c r="AA836" s="210"/>
      <c r="AB836" s="211">
        <f>C836</f>
        <v>5424047.6600000001</v>
      </c>
      <c r="AC836" s="212"/>
      <c r="AD836" s="212">
        <v>2024</v>
      </c>
      <c r="AE836" s="212">
        <v>2024</v>
      </c>
      <c r="AF836" s="25"/>
      <c r="AG836" s="91"/>
    </row>
    <row r="837" spans="1:33" s="26" customFormat="1" ht="24" customHeight="1">
      <c r="A837" s="231">
        <f>A836+1</f>
        <v>404</v>
      </c>
      <c r="B837" s="249" t="s">
        <v>976</v>
      </c>
      <c r="C837" s="232">
        <f>D837+F837+G837+H837+I837+K837+L837+M837+O837+P837+Q837+R837+S837+W837+V837+X837</f>
        <v>6075603.3200000003</v>
      </c>
      <c r="D837" s="228"/>
      <c r="E837" s="265"/>
      <c r="F837" s="228"/>
      <c r="G837" s="182"/>
      <c r="H837" s="234"/>
      <c r="I837" s="234"/>
      <c r="J837" s="229"/>
      <c r="K837" s="228"/>
      <c r="L837" s="182"/>
      <c r="M837" s="185"/>
      <c r="N837" s="846">
        <v>2</v>
      </c>
      <c r="O837" s="297">
        <f>(2*3037801.66-V837)/101.5*100</f>
        <v>5836170.6799999997</v>
      </c>
      <c r="P837" s="236"/>
      <c r="Q837" s="228"/>
      <c r="R837" s="229"/>
      <c r="S837" s="234"/>
      <c r="T837" s="234"/>
      <c r="U837" s="234"/>
      <c r="V837" s="268">
        <v>151890.07999999999</v>
      </c>
      <c r="W837" s="252">
        <f>ROUND((D837+F837+G837+H837+I837+L837+K837+M837+O837+P837+Q837+R837+S837)*1.5%,2)</f>
        <v>87542.56</v>
      </c>
      <c r="X837" s="229"/>
      <c r="Y837" s="229"/>
      <c r="Z837" s="229"/>
      <c r="AA837" s="229"/>
      <c r="AB837" s="230">
        <f>C837</f>
        <v>6075603.3200000003</v>
      </c>
      <c r="AC837" s="231"/>
      <c r="AD837" s="231">
        <v>2024</v>
      </c>
      <c r="AE837" s="231">
        <v>2024</v>
      </c>
      <c r="AF837" s="25"/>
      <c r="AG837" s="91"/>
    </row>
    <row r="838" spans="1:33" s="26" customFormat="1" ht="24" customHeight="1">
      <c r="A838" s="231">
        <f>A837+1</f>
        <v>405</v>
      </c>
      <c r="B838" s="249" t="s">
        <v>637</v>
      </c>
      <c r="C838" s="232">
        <f>D838+F838+G838+H838+I838+K838+L838+M838+O838+P838+Q838+R838+S838+W838+V838+X838</f>
        <v>6394429.75</v>
      </c>
      <c r="D838" s="228"/>
      <c r="E838" s="265"/>
      <c r="F838" s="228"/>
      <c r="G838" s="182"/>
      <c r="H838" s="234"/>
      <c r="I838" s="234"/>
      <c r="J838" s="229"/>
      <c r="K838" s="228"/>
      <c r="L838" s="182"/>
      <c r="M838" s="185"/>
      <c r="N838" s="846">
        <v>2</v>
      </c>
      <c r="O838" s="295">
        <v>6217772.4800000004</v>
      </c>
      <c r="P838" s="182"/>
      <c r="Q838" s="182"/>
      <c r="R838" s="228"/>
      <c r="S838" s="228"/>
      <c r="T838" s="268"/>
      <c r="U838" s="230"/>
      <c r="V838" s="268">
        <v>155509.62</v>
      </c>
      <c r="W838" s="230">
        <v>21147.65</v>
      </c>
      <c r="X838" s="229"/>
      <c r="Y838" s="230">
        <f>C838*96%</f>
        <v>6138652.5599999996</v>
      </c>
      <c r="Z838" s="230">
        <f>C838*4%</f>
        <v>255777.19</v>
      </c>
      <c r="AA838" s="229"/>
      <c r="AB838" s="230"/>
      <c r="AC838" s="231"/>
      <c r="AD838" s="231">
        <v>2024</v>
      </c>
      <c r="AE838" s="231">
        <v>2026</v>
      </c>
      <c r="AF838" s="25"/>
      <c r="AG838" s="262"/>
    </row>
    <row r="839" spans="1:33" s="26" customFormat="1" ht="24" customHeight="1">
      <c r="A839" s="212">
        <f t="shared" ref="A839:A901" si="371">A838+1</f>
        <v>406</v>
      </c>
      <c r="B839" s="289" t="s">
        <v>977</v>
      </c>
      <c r="C839" s="213">
        <v>9113404.9800000004</v>
      </c>
      <c r="D839" s="214"/>
      <c r="E839" s="278"/>
      <c r="F839" s="214"/>
      <c r="G839" s="215"/>
      <c r="H839" s="216"/>
      <c r="I839" s="216"/>
      <c r="J839" s="210"/>
      <c r="K839" s="214"/>
      <c r="L839" s="215"/>
      <c r="M839" s="220"/>
      <c r="N839" s="857">
        <v>3</v>
      </c>
      <c r="O839" s="290">
        <v>8754256.0199999996</v>
      </c>
      <c r="P839" s="209"/>
      <c r="Q839" s="214"/>
      <c r="R839" s="210"/>
      <c r="S839" s="216"/>
      <c r="T839" s="216"/>
      <c r="U839" s="216"/>
      <c r="V839" s="272">
        <v>227835.12</v>
      </c>
      <c r="W839" s="281">
        <v>131313.84</v>
      </c>
      <c r="X839" s="210"/>
      <c r="Y839" s="210"/>
      <c r="Z839" s="210"/>
      <c r="AA839" s="210"/>
      <c r="AB839" s="211">
        <v>9113404.9800000004</v>
      </c>
      <c r="AC839" s="212"/>
      <c r="AD839" s="212">
        <v>2023</v>
      </c>
      <c r="AE839" s="212">
        <v>2024</v>
      </c>
      <c r="AF839" s="91"/>
      <c r="AG839" s="91"/>
    </row>
    <row r="840" spans="1:33" s="26" customFormat="1" ht="24" customHeight="1">
      <c r="A840" s="212">
        <f t="shared" si="371"/>
        <v>407</v>
      </c>
      <c r="B840" s="477" t="s">
        <v>784</v>
      </c>
      <c r="C840" s="453">
        <f t="shared" ref="C840:C849" si="372">D840+F840+G840+H840+I840+K840+L840+M840+O840+P840+Q840+R840+S840+W840+V840+X840</f>
        <v>6393345.2599999998</v>
      </c>
      <c r="D840" s="472"/>
      <c r="E840" s="491"/>
      <c r="F840" s="472"/>
      <c r="G840" s="466"/>
      <c r="H840" s="473"/>
      <c r="I840" s="473"/>
      <c r="J840" s="467"/>
      <c r="K840" s="472"/>
      <c r="L840" s="466"/>
      <c r="M840" s="474"/>
      <c r="N840" s="848">
        <v>2</v>
      </c>
      <c r="O840" s="205">
        <v>6217772.4800000004</v>
      </c>
      <c r="P840" s="417"/>
      <c r="Q840" s="428"/>
      <c r="R840" s="420"/>
      <c r="S840" s="429"/>
      <c r="T840" s="429"/>
      <c r="U840" s="429"/>
      <c r="V840" s="431">
        <v>155509.62</v>
      </c>
      <c r="W840" s="495">
        <v>20063.16</v>
      </c>
      <c r="X840" s="420"/>
      <c r="Y840" s="425">
        <f>C840*59%</f>
        <v>3772073.7</v>
      </c>
      <c r="Z840" s="425">
        <f>C840*41%</f>
        <v>2621271.56</v>
      </c>
      <c r="AA840" s="420"/>
      <c r="AB840" s="425"/>
      <c r="AC840" s="426"/>
      <c r="AD840" s="231">
        <v>2024</v>
      </c>
      <c r="AE840" s="231">
        <v>2026</v>
      </c>
      <c r="AF840" s="91"/>
      <c r="AG840" s="262"/>
    </row>
    <row r="841" spans="1:33" s="26" customFormat="1" ht="24" customHeight="1">
      <c r="A841" s="231">
        <f t="shared" si="371"/>
        <v>408</v>
      </c>
      <c r="B841" s="435" t="s">
        <v>785</v>
      </c>
      <c r="C841" s="418">
        <f t="shared" si="372"/>
        <v>6393345.2599999998</v>
      </c>
      <c r="D841" s="428"/>
      <c r="E841" s="492"/>
      <c r="F841" s="428"/>
      <c r="G841" s="466"/>
      <c r="H841" s="429"/>
      <c r="I841" s="429"/>
      <c r="J841" s="420"/>
      <c r="K841" s="428"/>
      <c r="L841" s="466"/>
      <c r="M841" s="474"/>
      <c r="N841" s="848">
        <v>2</v>
      </c>
      <c r="O841" s="205">
        <v>6217772.4800000004</v>
      </c>
      <c r="P841" s="417"/>
      <c r="Q841" s="428"/>
      <c r="R841" s="420"/>
      <c r="S841" s="429"/>
      <c r="T841" s="429"/>
      <c r="U841" s="429"/>
      <c r="V841" s="431">
        <v>155509.62</v>
      </c>
      <c r="W841" s="495">
        <v>20063.16</v>
      </c>
      <c r="X841" s="420"/>
      <c r="Y841" s="425">
        <f t="shared" ref="Y841:Y845" si="373">C841*59%</f>
        <v>3772073.7</v>
      </c>
      <c r="Z841" s="425">
        <f t="shared" ref="Z841:Z845" si="374">C841*41%</f>
        <v>2621271.56</v>
      </c>
      <c r="AA841" s="420"/>
      <c r="AB841" s="425"/>
      <c r="AC841" s="426"/>
      <c r="AD841" s="231">
        <v>2024</v>
      </c>
      <c r="AE841" s="231">
        <v>2026</v>
      </c>
      <c r="AF841" s="91"/>
      <c r="AG841" s="262"/>
    </row>
    <row r="842" spans="1:33" s="26" customFormat="1" ht="24" customHeight="1">
      <c r="A842" s="231">
        <f t="shared" si="371"/>
        <v>409</v>
      </c>
      <c r="B842" s="435" t="s">
        <v>786</v>
      </c>
      <c r="C842" s="418">
        <f t="shared" si="372"/>
        <v>6393345.2599999998</v>
      </c>
      <c r="D842" s="428"/>
      <c r="E842" s="492"/>
      <c r="F842" s="428"/>
      <c r="G842" s="466"/>
      <c r="H842" s="429"/>
      <c r="I842" s="429"/>
      <c r="J842" s="420"/>
      <c r="K842" s="428"/>
      <c r="L842" s="466"/>
      <c r="M842" s="474"/>
      <c r="N842" s="848">
        <v>2</v>
      </c>
      <c r="O842" s="205">
        <v>6217772.4800000004</v>
      </c>
      <c r="P842" s="417"/>
      <c r="Q842" s="428"/>
      <c r="R842" s="420"/>
      <c r="S842" s="429"/>
      <c r="T842" s="429"/>
      <c r="U842" s="429"/>
      <c r="V842" s="431">
        <v>155509.62</v>
      </c>
      <c r="W842" s="495">
        <v>20063.16</v>
      </c>
      <c r="X842" s="420"/>
      <c r="Y842" s="425">
        <f t="shared" si="373"/>
        <v>3772073.7</v>
      </c>
      <c r="Z842" s="425">
        <f t="shared" si="374"/>
        <v>2621271.56</v>
      </c>
      <c r="AA842" s="420"/>
      <c r="AB842" s="425"/>
      <c r="AC842" s="426"/>
      <c r="AD842" s="231">
        <v>2024</v>
      </c>
      <c r="AE842" s="231">
        <v>2026</v>
      </c>
      <c r="AF842" s="91"/>
      <c r="AG842" s="262"/>
    </row>
    <row r="843" spans="1:33" s="26" customFormat="1" ht="24" customHeight="1">
      <c r="A843" s="231">
        <f t="shared" si="371"/>
        <v>410</v>
      </c>
      <c r="B843" s="435" t="s">
        <v>787</v>
      </c>
      <c r="C843" s="418">
        <f t="shared" si="372"/>
        <v>6393345.2599999998</v>
      </c>
      <c r="D843" s="428"/>
      <c r="E843" s="492"/>
      <c r="F843" s="428"/>
      <c r="G843" s="466"/>
      <c r="H843" s="429"/>
      <c r="I843" s="429"/>
      <c r="J843" s="420"/>
      <c r="K843" s="428"/>
      <c r="L843" s="466"/>
      <c r="M843" s="474"/>
      <c r="N843" s="848">
        <v>2</v>
      </c>
      <c r="O843" s="205">
        <v>6217772.4800000004</v>
      </c>
      <c r="P843" s="417"/>
      <c r="Q843" s="428"/>
      <c r="R843" s="420"/>
      <c r="S843" s="429"/>
      <c r="T843" s="429"/>
      <c r="U843" s="429"/>
      <c r="V843" s="431">
        <v>155509.62</v>
      </c>
      <c r="W843" s="495">
        <v>20063.16</v>
      </c>
      <c r="X843" s="420"/>
      <c r="Y843" s="425">
        <f t="shared" si="373"/>
        <v>3772073.7</v>
      </c>
      <c r="Z843" s="425">
        <f t="shared" si="374"/>
        <v>2621271.56</v>
      </c>
      <c r="AA843" s="420"/>
      <c r="AB843" s="425"/>
      <c r="AC843" s="426"/>
      <c r="AD843" s="231">
        <v>2024</v>
      </c>
      <c r="AE843" s="231">
        <v>2026</v>
      </c>
      <c r="AF843" s="91"/>
      <c r="AG843" s="262"/>
    </row>
    <row r="844" spans="1:33" s="26" customFormat="1" ht="24" customHeight="1">
      <c r="A844" s="231">
        <f t="shared" si="371"/>
        <v>411</v>
      </c>
      <c r="B844" s="435" t="s">
        <v>788</v>
      </c>
      <c r="C844" s="418">
        <f t="shared" si="372"/>
        <v>3196672.63</v>
      </c>
      <c r="D844" s="428"/>
      <c r="E844" s="492"/>
      <c r="F844" s="428"/>
      <c r="G844" s="466"/>
      <c r="H844" s="429"/>
      <c r="I844" s="429"/>
      <c r="J844" s="420"/>
      <c r="K844" s="428"/>
      <c r="L844" s="466"/>
      <c r="M844" s="474"/>
      <c r="N844" s="848">
        <v>1</v>
      </c>
      <c r="O844" s="205">
        <v>3108886.24</v>
      </c>
      <c r="P844" s="417"/>
      <c r="Q844" s="428"/>
      <c r="R844" s="420"/>
      <c r="S844" s="429"/>
      <c r="T844" s="429"/>
      <c r="U844" s="429"/>
      <c r="V844" s="431">
        <v>77754.81</v>
      </c>
      <c r="W844" s="495">
        <v>10031.58</v>
      </c>
      <c r="X844" s="420"/>
      <c r="Y844" s="425">
        <f t="shared" si="373"/>
        <v>1886036.85</v>
      </c>
      <c r="Z844" s="425">
        <f t="shared" si="374"/>
        <v>1310635.78</v>
      </c>
      <c r="AA844" s="420"/>
      <c r="AB844" s="425"/>
      <c r="AC844" s="426"/>
      <c r="AD844" s="231">
        <v>2024</v>
      </c>
      <c r="AE844" s="231">
        <v>2026</v>
      </c>
      <c r="AF844" s="91"/>
      <c r="AG844" s="262"/>
    </row>
    <row r="845" spans="1:33" s="26" customFormat="1" ht="24" customHeight="1">
      <c r="A845" s="231">
        <f t="shared" si="371"/>
        <v>412</v>
      </c>
      <c r="B845" s="435" t="s">
        <v>789</v>
      </c>
      <c r="C845" s="418">
        <f t="shared" si="372"/>
        <v>9590017.9000000004</v>
      </c>
      <c r="D845" s="428"/>
      <c r="E845" s="492"/>
      <c r="F845" s="428"/>
      <c r="G845" s="466"/>
      <c r="H845" s="429"/>
      <c r="I845" s="429"/>
      <c r="J845" s="420"/>
      <c r="K845" s="428"/>
      <c r="L845" s="466"/>
      <c r="M845" s="474"/>
      <c r="N845" s="848">
        <v>3</v>
      </c>
      <c r="O845" s="205">
        <v>9326658.7200000007</v>
      </c>
      <c r="P845" s="417"/>
      <c r="Q845" s="428"/>
      <c r="R845" s="420"/>
      <c r="S845" s="429"/>
      <c r="T845" s="429"/>
      <c r="U845" s="429"/>
      <c r="V845" s="431">
        <v>233264.43</v>
      </c>
      <c r="W845" s="495">
        <v>30094.75</v>
      </c>
      <c r="X845" s="420"/>
      <c r="Y845" s="425">
        <f t="shared" si="373"/>
        <v>5658110.5599999996</v>
      </c>
      <c r="Z845" s="425">
        <f t="shared" si="374"/>
        <v>3931907.34</v>
      </c>
      <c r="AA845" s="420"/>
      <c r="AB845" s="425"/>
      <c r="AC845" s="426"/>
      <c r="AD845" s="231">
        <v>2024</v>
      </c>
      <c r="AE845" s="231">
        <v>2026</v>
      </c>
      <c r="AF845" s="91"/>
      <c r="AG845" s="262"/>
    </row>
    <row r="846" spans="1:33" s="26" customFormat="1" ht="24" customHeight="1">
      <c r="A846" s="231">
        <f t="shared" si="371"/>
        <v>413</v>
      </c>
      <c r="B846" s="435" t="s">
        <v>578</v>
      </c>
      <c r="C846" s="493">
        <f t="shared" si="372"/>
        <v>15609525.77</v>
      </c>
      <c r="D846" s="428"/>
      <c r="E846" s="492"/>
      <c r="F846" s="428"/>
      <c r="G846" s="466"/>
      <c r="H846" s="429"/>
      <c r="I846" s="429"/>
      <c r="J846" s="420"/>
      <c r="K846" s="428"/>
      <c r="L846" s="466"/>
      <c r="M846" s="474"/>
      <c r="N846" s="849"/>
      <c r="O846" s="474"/>
      <c r="P846" s="466">
        <v>14656831.699999999</v>
      </c>
      <c r="Q846" s="466"/>
      <c r="R846" s="438"/>
      <c r="S846" s="428"/>
      <c r="T846" s="428"/>
      <c r="U846" s="428"/>
      <c r="V846" s="494">
        <v>732841.59</v>
      </c>
      <c r="W846" s="495">
        <v>219852.48</v>
      </c>
      <c r="X846" s="420"/>
      <c r="Y846" s="420"/>
      <c r="Z846" s="420"/>
      <c r="AA846" s="420"/>
      <c r="AB846" s="425">
        <f>C846</f>
        <v>15609525.77</v>
      </c>
      <c r="AC846" s="426"/>
      <c r="AD846" s="231">
        <v>2024</v>
      </c>
      <c r="AE846" s="231">
        <v>2025</v>
      </c>
      <c r="AF846" s="25"/>
      <c r="AG846" s="91"/>
    </row>
    <row r="847" spans="1:33" s="26" customFormat="1" ht="24" customHeight="1">
      <c r="A847" s="231">
        <f t="shared" si="371"/>
        <v>414</v>
      </c>
      <c r="B847" s="435" t="s">
        <v>790</v>
      </c>
      <c r="C847" s="418">
        <f t="shared" si="372"/>
        <v>6393345.2599999998</v>
      </c>
      <c r="D847" s="428"/>
      <c r="E847" s="492"/>
      <c r="F847" s="428"/>
      <c r="G847" s="466"/>
      <c r="H847" s="429"/>
      <c r="I847" s="429"/>
      <c r="J847" s="420"/>
      <c r="K847" s="428"/>
      <c r="L847" s="466"/>
      <c r="M847" s="474"/>
      <c r="N847" s="848">
        <v>2</v>
      </c>
      <c r="O847" s="205">
        <v>6217772.4800000004</v>
      </c>
      <c r="P847" s="417"/>
      <c r="Q847" s="428"/>
      <c r="R847" s="420"/>
      <c r="S847" s="429"/>
      <c r="T847" s="429"/>
      <c r="U847" s="429"/>
      <c r="V847" s="431">
        <v>155509.62</v>
      </c>
      <c r="W847" s="495">
        <v>20063.16</v>
      </c>
      <c r="X847" s="420"/>
      <c r="Y847" s="425">
        <f t="shared" ref="Y847" si="375">C847*59%</f>
        <v>3772073.7</v>
      </c>
      <c r="Z847" s="425">
        <f t="shared" ref="Z847" si="376">C847*41%</f>
        <v>2621271.56</v>
      </c>
      <c r="AA847" s="420"/>
      <c r="AB847" s="425"/>
      <c r="AC847" s="426"/>
      <c r="AD847" s="231">
        <v>2024</v>
      </c>
      <c r="AE847" s="231">
        <v>2026</v>
      </c>
      <c r="AF847" s="91"/>
      <c r="AG847" s="262"/>
    </row>
    <row r="848" spans="1:33" s="26" customFormat="1" ht="24" customHeight="1">
      <c r="A848" s="231">
        <f t="shared" si="371"/>
        <v>415</v>
      </c>
      <c r="B848" s="435" t="s">
        <v>577</v>
      </c>
      <c r="C848" s="493">
        <f t="shared" si="372"/>
        <v>13312020.18</v>
      </c>
      <c r="D848" s="496"/>
      <c r="E848" s="855">
        <v>2</v>
      </c>
      <c r="F848" s="496">
        <f>1612809*E848</f>
        <v>3225618</v>
      </c>
      <c r="G848" s="497"/>
      <c r="H848" s="496"/>
      <c r="I848" s="496"/>
      <c r="J848" s="496"/>
      <c r="K848" s="496"/>
      <c r="L848" s="497"/>
      <c r="M848" s="497"/>
      <c r="N848" s="848">
        <v>3</v>
      </c>
      <c r="O848" s="205">
        <v>9326658.7200000007</v>
      </c>
      <c r="P848" s="496"/>
      <c r="Q848" s="496"/>
      <c r="R848" s="496"/>
      <c r="S848" s="496"/>
      <c r="T848" s="496"/>
      <c r="U848" s="496"/>
      <c r="V848" s="504">
        <f>448000+233264.43</f>
        <v>681264.43</v>
      </c>
      <c r="W848" s="425">
        <f>48384.28+30094.75</f>
        <v>78479.03</v>
      </c>
      <c r="X848" s="496"/>
      <c r="Y848" s="425">
        <f>9590017.9*59%</f>
        <v>5658110.5599999996</v>
      </c>
      <c r="Z848" s="425">
        <f>9590017.9*41%</f>
        <v>3931907.34</v>
      </c>
      <c r="AA848" s="496"/>
      <c r="AB848" s="496">
        <f>C848-Y848-Z848</f>
        <v>3722002.28</v>
      </c>
      <c r="AC848" s="498"/>
      <c r="AD848" s="231">
        <v>2024</v>
      </c>
      <c r="AE848" s="231">
        <v>2026</v>
      </c>
      <c r="AF848" s="91"/>
      <c r="AG848" s="262"/>
    </row>
    <row r="849" spans="1:33" s="26" customFormat="1" ht="24" customHeight="1">
      <c r="A849" s="231">
        <f t="shared" si="371"/>
        <v>416</v>
      </c>
      <c r="B849" s="435" t="s">
        <v>791</v>
      </c>
      <c r="C849" s="418">
        <f t="shared" si="372"/>
        <v>6393345.2599999998</v>
      </c>
      <c r="D849" s="428"/>
      <c r="E849" s="492"/>
      <c r="F849" s="428"/>
      <c r="G849" s="466"/>
      <c r="H849" s="429"/>
      <c r="I849" s="429"/>
      <c r="J849" s="420"/>
      <c r="K849" s="428"/>
      <c r="L849" s="466"/>
      <c r="M849" s="474"/>
      <c r="N849" s="848">
        <v>2</v>
      </c>
      <c r="O849" s="205">
        <v>6217772.4800000004</v>
      </c>
      <c r="P849" s="417"/>
      <c r="Q849" s="428"/>
      <c r="R849" s="420"/>
      <c r="S849" s="429"/>
      <c r="T849" s="429"/>
      <c r="U849" s="429"/>
      <c r="V849" s="431">
        <v>155509.62</v>
      </c>
      <c r="W849" s="495">
        <v>20063.16</v>
      </c>
      <c r="X849" s="420"/>
      <c r="Y849" s="425">
        <f t="shared" ref="Y849" si="377">C849*59%</f>
        <v>3772073.7</v>
      </c>
      <c r="Z849" s="425">
        <f t="shared" ref="Z849" si="378">C849*41%</f>
        <v>2621271.56</v>
      </c>
      <c r="AA849" s="420"/>
      <c r="AB849" s="425"/>
      <c r="AC849" s="426"/>
      <c r="AD849" s="231">
        <v>2024</v>
      </c>
      <c r="AE849" s="231">
        <v>2026</v>
      </c>
      <c r="AF849" s="91"/>
      <c r="AG849" s="262"/>
    </row>
    <row r="850" spans="1:33" s="26" customFormat="1" ht="24" customHeight="1">
      <c r="A850" s="231">
        <f t="shared" si="371"/>
        <v>417</v>
      </c>
      <c r="B850" s="435" t="s">
        <v>638</v>
      </c>
      <c r="C850" s="493">
        <f>D850+F850+G850+H850+I850+K850+L850+M850+O850+P850+Q850+R850+S850+W850+V850+X850</f>
        <v>6394429.75</v>
      </c>
      <c r="D850" s="428"/>
      <c r="E850" s="492"/>
      <c r="F850" s="428"/>
      <c r="G850" s="466"/>
      <c r="H850" s="429"/>
      <c r="I850" s="429"/>
      <c r="J850" s="420"/>
      <c r="K850" s="428"/>
      <c r="L850" s="466"/>
      <c r="M850" s="474"/>
      <c r="N850" s="849">
        <v>2</v>
      </c>
      <c r="O850" s="499">
        <v>6217772.4800000004</v>
      </c>
      <c r="P850" s="497"/>
      <c r="Q850" s="497"/>
      <c r="R850" s="496"/>
      <c r="S850" s="496"/>
      <c r="T850" s="496"/>
      <c r="U850" s="496"/>
      <c r="V850" s="431">
        <v>155509.62</v>
      </c>
      <c r="W850" s="425">
        <v>21147.65</v>
      </c>
      <c r="X850" s="496"/>
      <c r="Y850" s="425">
        <f>C850*96%</f>
        <v>6138652.5599999996</v>
      </c>
      <c r="Z850" s="425">
        <f>C850*4%</f>
        <v>255777.19</v>
      </c>
      <c r="AA850" s="496"/>
      <c r="AB850" s="425"/>
      <c r="AC850" s="426"/>
      <c r="AD850" s="231">
        <v>2024</v>
      </c>
      <c r="AE850" s="231">
        <v>2026</v>
      </c>
      <c r="AF850" s="91"/>
      <c r="AG850" s="262"/>
    </row>
    <row r="851" spans="1:33" s="26" customFormat="1" ht="24" customHeight="1">
      <c r="A851" s="231">
        <f t="shared" si="371"/>
        <v>418</v>
      </c>
      <c r="B851" s="435" t="s">
        <v>642</v>
      </c>
      <c r="C851" s="418">
        <f>D851+F851+G851+H851+I851+K851+L851+M851+O851+P851+Q851+R851+S851+U851+T851+V851+W851</f>
        <v>3197214.88</v>
      </c>
      <c r="D851" s="428"/>
      <c r="E851" s="492"/>
      <c r="F851" s="428"/>
      <c r="G851" s="466"/>
      <c r="H851" s="429"/>
      <c r="I851" s="429"/>
      <c r="J851" s="420"/>
      <c r="K851" s="428"/>
      <c r="L851" s="466"/>
      <c r="M851" s="474"/>
      <c r="N851" s="849">
        <v>1</v>
      </c>
      <c r="O851" s="500">
        <v>3108886.24</v>
      </c>
      <c r="P851" s="497"/>
      <c r="Q851" s="497"/>
      <c r="R851" s="496"/>
      <c r="S851" s="496"/>
      <c r="T851" s="496"/>
      <c r="U851" s="496"/>
      <c r="V851" s="431">
        <v>77754.81</v>
      </c>
      <c r="W851" s="495">
        <v>10573.83</v>
      </c>
      <c r="X851" s="496"/>
      <c r="Y851" s="425">
        <f t="shared" ref="Y851" si="379">C851*96%</f>
        <v>3069326.28</v>
      </c>
      <c r="Z851" s="425">
        <f t="shared" ref="Z851" si="380">C851*4%</f>
        <v>127888.6</v>
      </c>
      <c r="AA851" s="496"/>
      <c r="AB851" s="425"/>
      <c r="AC851" s="426"/>
      <c r="AD851" s="231">
        <v>2024</v>
      </c>
      <c r="AE851" s="231">
        <v>2026</v>
      </c>
      <c r="AF851" s="91"/>
      <c r="AG851" s="262"/>
    </row>
    <row r="852" spans="1:33" s="26" customFormat="1" ht="24" customHeight="1">
      <c r="A852" s="231">
        <f t="shared" si="371"/>
        <v>419</v>
      </c>
      <c r="B852" s="435" t="s">
        <v>792</v>
      </c>
      <c r="C852" s="418">
        <f t="shared" ref="C852" si="381">D852+F852+G852+H852+I852+K852+L852+M852+O852+P852+Q852+R852+S852+W852+V852+X852</f>
        <v>3196672.65</v>
      </c>
      <c r="D852" s="428"/>
      <c r="E852" s="492"/>
      <c r="F852" s="428"/>
      <c r="G852" s="466"/>
      <c r="H852" s="429"/>
      <c r="I852" s="429"/>
      <c r="J852" s="420"/>
      <c r="K852" s="428"/>
      <c r="L852" s="466"/>
      <c r="M852" s="501"/>
      <c r="N852" s="850">
        <v>1</v>
      </c>
      <c r="O852" s="313">
        <v>3108886.24</v>
      </c>
      <c r="P852" s="502"/>
      <c r="Q852" s="503"/>
      <c r="R852" s="420"/>
      <c r="S852" s="429"/>
      <c r="T852" s="429"/>
      <c r="U852" s="429"/>
      <c r="V852" s="431">
        <v>77754.83</v>
      </c>
      <c r="W852" s="495">
        <v>10031.58</v>
      </c>
      <c r="X852" s="420"/>
      <c r="Y852" s="425">
        <f>C852*69%</f>
        <v>2205704.13</v>
      </c>
      <c r="Z852" s="425">
        <f>C852*31%</f>
        <v>990968.52</v>
      </c>
      <c r="AA852" s="420"/>
      <c r="AB852" s="425"/>
      <c r="AC852" s="426"/>
      <c r="AD852" s="231">
        <v>2024</v>
      </c>
      <c r="AE852" s="231">
        <v>2026</v>
      </c>
      <c r="AF852" s="91"/>
      <c r="AG852" s="262"/>
    </row>
    <row r="853" spans="1:33" s="26" customFormat="1" ht="24" customHeight="1">
      <c r="A853" s="231">
        <f t="shared" si="371"/>
        <v>420</v>
      </c>
      <c r="B853" s="249" t="s">
        <v>639</v>
      </c>
      <c r="C853" s="232">
        <f>D853+F853+G853+H853+I853+K853+L853+M853+O853+P853+Q853+R853+S853+U853+T853+V853+W853</f>
        <v>6394429.75</v>
      </c>
      <c r="D853" s="228"/>
      <c r="E853" s="402"/>
      <c r="F853" s="228"/>
      <c r="G853" s="182"/>
      <c r="H853" s="234"/>
      <c r="I853" s="234"/>
      <c r="J853" s="229"/>
      <c r="K853" s="228"/>
      <c r="L853" s="182"/>
      <c r="M853" s="185"/>
      <c r="N853" s="846">
        <v>2</v>
      </c>
      <c r="O853" s="295">
        <v>6217772.4800000004</v>
      </c>
      <c r="P853" s="296"/>
      <c r="Q853" s="296"/>
      <c r="R853" s="293"/>
      <c r="S853" s="293"/>
      <c r="T853" s="293"/>
      <c r="U853" s="293"/>
      <c r="V853" s="268">
        <v>155509.62</v>
      </c>
      <c r="W853" s="230">
        <v>21147.65</v>
      </c>
      <c r="X853" s="293"/>
      <c r="Y853" s="230">
        <f t="shared" ref="Y853:Y855" si="382">C853*96%</f>
        <v>6138652.5599999996</v>
      </c>
      <c r="Z853" s="230">
        <f t="shared" ref="Z853:Z855" si="383">C853*4%</f>
        <v>255777.19</v>
      </c>
      <c r="AA853" s="293"/>
      <c r="AB853" s="230"/>
      <c r="AC853" s="231"/>
      <c r="AD853" s="231">
        <v>2024</v>
      </c>
      <c r="AE853" s="231">
        <v>2026</v>
      </c>
      <c r="AF853" s="91"/>
      <c r="AG853" s="262"/>
    </row>
    <row r="854" spans="1:33" s="26" customFormat="1" ht="24" customHeight="1">
      <c r="A854" s="231">
        <f t="shared" si="371"/>
        <v>421</v>
      </c>
      <c r="B854" s="249" t="s">
        <v>640</v>
      </c>
      <c r="C854" s="232">
        <f>D854+F854+G854+H854+I854+K854+L854+M854+O854+P854+Q854+R854+S854+U854+T854+V854+W854</f>
        <v>6394429.75</v>
      </c>
      <c r="D854" s="228"/>
      <c r="E854" s="402"/>
      <c r="F854" s="228"/>
      <c r="G854" s="182"/>
      <c r="H854" s="234"/>
      <c r="I854" s="234"/>
      <c r="J854" s="229"/>
      <c r="K854" s="228"/>
      <c r="L854" s="182"/>
      <c r="M854" s="185"/>
      <c r="N854" s="846">
        <v>2</v>
      </c>
      <c r="O854" s="295">
        <v>6217772.4800000004</v>
      </c>
      <c r="P854" s="296"/>
      <c r="Q854" s="296"/>
      <c r="R854" s="293"/>
      <c r="S854" s="293"/>
      <c r="T854" s="293"/>
      <c r="U854" s="293"/>
      <c r="V854" s="268">
        <v>155509.62</v>
      </c>
      <c r="W854" s="230">
        <v>21147.65</v>
      </c>
      <c r="X854" s="293"/>
      <c r="Y854" s="230">
        <f t="shared" si="382"/>
        <v>6138652.5599999996</v>
      </c>
      <c r="Z854" s="230">
        <f t="shared" si="383"/>
        <v>255777.19</v>
      </c>
      <c r="AA854" s="293"/>
      <c r="AB854" s="230"/>
      <c r="AC854" s="231"/>
      <c r="AD854" s="231">
        <v>2024</v>
      </c>
      <c r="AE854" s="231">
        <v>2026</v>
      </c>
      <c r="AF854" s="91"/>
      <c r="AG854" s="262"/>
    </row>
    <row r="855" spans="1:33" s="26" customFormat="1" ht="24" customHeight="1">
      <c r="A855" s="231">
        <f t="shared" si="371"/>
        <v>422</v>
      </c>
      <c r="B855" s="249" t="s">
        <v>641</v>
      </c>
      <c r="C855" s="232">
        <f>D855+F855+G855+H855+I855+K855+L855+M855+O855+P855+Q855+R855+S855+U855+T855+V855+W855</f>
        <v>6394429.75</v>
      </c>
      <c r="D855" s="228"/>
      <c r="E855" s="402"/>
      <c r="F855" s="228"/>
      <c r="G855" s="182"/>
      <c r="H855" s="234"/>
      <c r="I855" s="234"/>
      <c r="J855" s="229"/>
      <c r="K855" s="228"/>
      <c r="L855" s="182"/>
      <c r="M855" s="185"/>
      <c r="N855" s="846">
        <v>2</v>
      </c>
      <c r="O855" s="295">
        <v>6217772.4800000004</v>
      </c>
      <c r="P855" s="296"/>
      <c r="Q855" s="296"/>
      <c r="R855" s="293"/>
      <c r="S855" s="293"/>
      <c r="T855" s="293"/>
      <c r="U855" s="293"/>
      <c r="V855" s="268">
        <v>155509.62</v>
      </c>
      <c r="W855" s="230">
        <v>21147.65</v>
      </c>
      <c r="X855" s="293"/>
      <c r="Y855" s="230">
        <f t="shared" si="382"/>
        <v>6138652.5599999996</v>
      </c>
      <c r="Z855" s="230">
        <f t="shared" si="383"/>
        <v>255777.19</v>
      </c>
      <c r="AA855" s="293"/>
      <c r="AB855" s="230"/>
      <c r="AC855" s="231"/>
      <c r="AD855" s="231">
        <v>2024</v>
      </c>
      <c r="AE855" s="231">
        <v>2026</v>
      </c>
      <c r="AF855" s="91"/>
      <c r="AG855" s="262"/>
    </row>
    <row r="856" spans="1:33" s="26" customFormat="1" ht="24" customHeight="1">
      <c r="A856" s="231">
        <f t="shared" si="371"/>
        <v>423</v>
      </c>
      <c r="B856" s="249" t="s">
        <v>157</v>
      </c>
      <c r="C856" s="232">
        <v>3037801.66</v>
      </c>
      <c r="D856" s="228"/>
      <c r="E856" s="402"/>
      <c r="F856" s="228"/>
      <c r="G856" s="182"/>
      <c r="H856" s="234"/>
      <c r="I856" s="234"/>
      <c r="J856" s="229"/>
      <c r="K856" s="228"/>
      <c r="L856" s="182"/>
      <c r="M856" s="185"/>
      <c r="N856" s="846">
        <v>1</v>
      </c>
      <c r="O856" s="297">
        <v>2918085.34</v>
      </c>
      <c r="P856" s="182"/>
      <c r="Q856" s="182"/>
      <c r="R856" s="228"/>
      <c r="S856" s="228"/>
      <c r="T856" s="228"/>
      <c r="U856" s="228"/>
      <c r="V856" s="268">
        <v>75945.039999999994</v>
      </c>
      <c r="W856" s="252">
        <v>43771.28</v>
      </c>
      <c r="X856" s="229"/>
      <c r="Y856" s="229"/>
      <c r="Z856" s="229"/>
      <c r="AA856" s="229"/>
      <c r="AB856" s="230">
        <v>3037801.66</v>
      </c>
      <c r="AC856" s="231"/>
      <c r="AD856" s="231">
        <v>2023</v>
      </c>
      <c r="AE856" s="231">
        <v>2024</v>
      </c>
      <c r="AF856" s="25"/>
      <c r="AG856" s="91"/>
    </row>
    <row r="857" spans="1:33" s="26" customFormat="1" ht="24" customHeight="1">
      <c r="A857" s="231">
        <f t="shared" si="371"/>
        <v>424</v>
      </c>
      <c r="B857" s="249" t="s">
        <v>576</v>
      </c>
      <c r="C857" s="291">
        <f>D857+F857+G857+H857+I857+K857+L857+M857+O857+P857+Q857+R857+S857+W857+V857+X857</f>
        <v>16510861.789999999</v>
      </c>
      <c r="D857" s="293"/>
      <c r="E857" s="856">
        <v>2</v>
      </c>
      <c r="F857" s="293">
        <f>1612809*E857</f>
        <v>3225618</v>
      </c>
      <c r="G857" s="296"/>
      <c r="H857" s="293"/>
      <c r="I857" s="293"/>
      <c r="J857" s="293"/>
      <c r="K857" s="293"/>
      <c r="L857" s="296"/>
      <c r="M857" s="296"/>
      <c r="N857" s="846">
        <v>4</v>
      </c>
      <c r="O857" s="297">
        <v>12435544.960000001</v>
      </c>
      <c r="P857" s="293"/>
      <c r="Q857" s="293"/>
      <c r="R857" s="293"/>
      <c r="S857" s="293"/>
      <c r="T857" s="293"/>
      <c r="U857" s="293"/>
      <c r="V857" s="294">
        <f>224000*E857+311019.24</f>
        <v>759019.24</v>
      </c>
      <c r="W857" s="230">
        <f>24192.14*E857+42295.31</f>
        <v>90679.59</v>
      </c>
      <c r="X857" s="293"/>
      <c r="Y857" s="293">
        <f>12788859.51*96%</f>
        <v>12277305.130000001</v>
      </c>
      <c r="Z857" s="293">
        <f>12788859.51*4%</f>
        <v>511554.38</v>
      </c>
      <c r="AA857" s="293"/>
      <c r="AB857" s="293">
        <f>C857-Y857-Z857</f>
        <v>3722002.28</v>
      </c>
      <c r="AC857" s="800"/>
      <c r="AD857" s="231">
        <v>2024</v>
      </c>
      <c r="AE857" s="231">
        <v>2026</v>
      </c>
      <c r="AF857" s="25"/>
      <c r="AG857" s="262"/>
    </row>
    <row r="858" spans="1:33" s="26" customFormat="1" ht="24" customHeight="1">
      <c r="A858" s="231">
        <f t="shared" si="371"/>
        <v>425</v>
      </c>
      <c r="B858" s="249" t="s">
        <v>643</v>
      </c>
      <c r="C858" s="232">
        <f>D858+F858+G858+H858+I858+K858+L858+M858+O858+P858+Q858+R858+S858+U858+T858+V858+W858</f>
        <v>9591644.6300000008</v>
      </c>
      <c r="D858" s="293"/>
      <c r="E858" s="403"/>
      <c r="F858" s="293"/>
      <c r="G858" s="296"/>
      <c r="H858" s="293"/>
      <c r="I858" s="293"/>
      <c r="J858" s="293"/>
      <c r="K858" s="293"/>
      <c r="L858" s="296"/>
      <c r="M858" s="296"/>
      <c r="N858" s="846">
        <v>3</v>
      </c>
      <c r="O858" s="297">
        <v>9326658.7200000007</v>
      </c>
      <c r="P858" s="296"/>
      <c r="Q858" s="296"/>
      <c r="R858" s="293"/>
      <c r="S858" s="293"/>
      <c r="T858" s="293"/>
      <c r="U858" s="293"/>
      <c r="V858" s="268">
        <v>233264.43</v>
      </c>
      <c r="W858" s="252">
        <v>31721.48</v>
      </c>
      <c r="X858" s="293"/>
      <c r="Y858" s="230">
        <f t="shared" ref="Y858:Y868" si="384">C858*96%</f>
        <v>9207978.8399999999</v>
      </c>
      <c r="Z858" s="230">
        <f t="shared" ref="Z858:Z868" si="385">C858*4%</f>
        <v>383665.79</v>
      </c>
      <c r="AA858" s="293"/>
      <c r="AB858" s="293"/>
      <c r="AC858" s="800"/>
      <c r="AD858" s="231">
        <v>2024</v>
      </c>
      <c r="AE858" s="231">
        <v>2026</v>
      </c>
      <c r="AF858" s="25"/>
      <c r="AG858" s="262"/>
    </row>
    <row r="859" spans="1:33" s="26" customFormat="1" ht="24" customHeight="1">
      <c r="A859" s="231">
        <f t="shared" si="371"/>
        <v>426</v>
      </c>
      <c r="B859" s="249" t="s">
        <v>644</v>
      </c>
      <c r="C859" s="232">
        <f t="shared" ref="C859:C868" si="386">D859+F859+G859+H859+I859+K859+L859+M859+O859+P859+Q859+R859+S859+U859+T859+V859+W859</f>
        <v>6394429.75</v>
      </c>
      <c r="D859" s="293"/>
      <c r="E859" s="403"/>
      <c r="F859" s="293"/>
      <c r="G859" s="296"/>
      <c r="H859" s="293"/>
      <c r="I859" s="293"/>
      <c r="J859" s="293"/>
      <c r="K859" s="293"/>
      <c r="L859" s="296"/>
      <c r="M859" s="296"/>
      <c r="N859" s="846">
        <v>2</v>
      </c>
      <c r="O859" s="295">
        <v>6217772.4800000004</v>
      </c>
      <c r="P859" s="296"/>
      <c r="Q859" s="296"/>
      <c r="R859" s="293"/>
      <c r="S859" s="293"/>
      <c r="T859" s="293"/>
      <c r="U859" s="293"/>
      <c r="V859" s="268">
        <v>155509.62</v>
      </c>
      <c r="W859" s="230">
        <v>21147.65</v>
      </c>
      <c r="X859" s="293"/>
      <c r="Y859" s="230">
        <f t="shared" si="384"/>
        <v>6138652.5599999996</v>
      </c>
      <c r="Z859" s="230">
        <f t="shared" si="385"/>
        <v>255777.19</v>
      </c>
      <c r="AA859" s="293"/>
      <c r="AB859" s="293"/>
      <c r="AC859" s="800"/>
      <c r="AD859" s="231">
        <v>2024</v>
      </c>
      <c r="AE859" s="231">
        <v>2026</v>
      </c>
      <c r="AF859" s="25"/>
      <c r="AG859" s="262"/>
    </row>
    <row r="860" spans="1:33" s="26" customFormat="1" ht="24" customHeight="1">
      <c r="A860" s="231">
        <f t="shared" si="371"/>
        <v>427</v>
      </c>
      <c r="B860" s="249" t="s">
        <v>645</v>
      </c>
      <c r="C860" s="232">
        <f t="shared" si="386"/>
        <v>12788859.51</v>
      </c>
      <c r="D860" s="293"/>
      <c r="E860" s="403"/>
      <c r="F860" s="293"/>
      <c r="G860" s="296"/>
      <c r="H860" s="293"/>
      <c r="I860" s="293"/>
      <c r="J860" s="293"/>
      <c r="K860" s="293"/>
      <c r="L860" s="296"/>
      <c r="M860" s="296"/>
      <c r="N860" s="846">
        <v>4</v>
      </c>
      <c r="O860" s="297">
        <v>12435544.960000001</v>
      </c>
      <c r="P860" s="296"/>
      <c r="Q860" s="296"/>
      <c r="R860" s="293"/>
      <c r="S860" s="293"/>
      <c r="T860" s="293"/>
      <c r="U860" s="293"/>
      <c r="V860" s="268">
        <v>311019.24</v>
      </c>
      <c r="W860" s="252">
        <v>42295.31</v>
      </c>
      <c r="X860" s="293"/>
      <c r="Y860" s="230">
        <f t="shared" si="384"/>
        <v>12277305.130000001</v>
      </c>
      <c r="Z860" s="230">
        <f t="shared" si="385"/>
        <v>511554.38</v>
      </c>
      <c r="AA860" s="293"/>
      <c r="AB860" s="293"/>
      <c r="AC860" s="800"/>
      <c r="AD860" s="231">
        <v>2024</v>
      </c>
      <c r="AE860" s="231">
        <v>2026</v>
      </c>
      <c r="AF860" s="25"/>
      <c r="AG860" s="262"/>
    </row>
    <row r="861" spans="1:33" s="26" customFormat="1" ht="24" customHeight="1">
      <c r="A861" s="231">
        <f t="shared" si="371"/>
        <v>428</v>
      </c>
      <c r="B861" s="249" t="s">
        <v>646</v>
      </c>
      <c r="C861" s="232">
        <f t="shared" si="386"/>
        <v>6394429.75</v>
      </c>
      <c r="D861" s="293"/>
      <c r="E861" s="293"/>
      <c r="F861" s="293"/>
      <c r="G861" s="296"/>
      <c r="H861" s="293"/>
      <c r="I861" s="293"/>
      <c r="J861" s="293"/>
      <c r="K861" s="293"/>
      <c r="L861" s="296"/>
      <c r="M861" s="296"/>
      <c r="N861" s="846">
        <v>2</v>
      </c>
      <c r="O861" s="295">
        <v>6217772.4800000004</v>
      </c>
      <c r="P861" s="296"/>
      <c r="Q861" s="296"/>
      <c r="R861" s="293"/>
      <c r="S861" s="293"/>
      <c r="T861" s="293"/>
      <c r="U861" s="293"/>
      <c r="V861" s="268">
        <v>155509.62</v>
      </c>
      <c r="W861" s="230">
        <v>21147.65</v>
      </c>
      <c r="X861" s="293"/>
      <c r="Y861" s="230">
        <f t="shared" si="384"/>
        <v>6138652.5599999996</v>
      </c>
      <c r="Z861" s="230">
        <f t="shared" si="385"/>
        <v>255777.19</v>
      </c>
      <c r="AA861" s="293"/>
      <c r="AB861" s="293"/>
      <c r="AC861" s="800"/>
      <c r="AD861" s="231">
        <v>2024</v>
      </c>
      <c r="AE861" s="231">
        <v>2026</v>
      </c>
      <c r="AF861" s="25"/>
      <c r="AG861" s="262"/>
    </row>
    <row r="862" spans="1:33" s="26" customFormat="1" ht="24" customHeight="1">
      <c r="A862" s="231">
        <f t="shared" si="371"/>
        <v>429</v>
      </c>
      <c r="B862" s="249" t="s">
        <v>647</v>
      </c>
      <c r="C862" s="232">
        <f t="shared" si="386"/>
        <v>9591644.6300000008</v>
      </c>
      <c r="D862" s="293"/>
      <c r="E862" s="293"/>
      <c r="F862" s="293"/>
      <c r="G862" s="296"/>
      <c r="H862" s="293"/>
      <c r="I862" s="293"/>
      <c r="J862" s="293"/>
      <c r="K862" s="293"/>
      <c r="L862" s="296"/>
      <c r="M862" s="296"/>
      <c r="N862" s="846">
        <v>3</v>
      </c>
      <c r="O862" s="297">
        <v>9326658.7200000007</v>
      </c>
      <c r="P862" s="296"/>
      <c r="Q862" s="296"/>
      <c r="R862" s="293"/>
      <c r="S862" s="293"/>
      <c r="T862" s="293"/>
      <c r="U862" s="293"/>
      <c r="V862" s="268">
        <v>233264.43</v>
      </c>
      <c r="W862" s="252">
        <v>31721.48</v>
      </c>
      <c r="X862" s="293"/>
      <c r="Y862" s="230">
        <f t="shared" si="384"/>
        <v>9207978.8399999999</v>
      </c>
      <c r="Z862" s="230">
        <f t="shared" si="385"/>
        <v>383665.79</v>
      </c>
      <c r="AA862" s="293"/>
      <c r="AB862" s="293"/>
      <c r="AC862" s="800"/>
      <c r="AD862" s="231">
        <v>2024</v>
      </c>
      <c r="AE862" s="231">
        <v>2026</v>
      </c>
      <c r="AF862" s="25"/>
      <c r="AG862" s="262"/>
    </row>
    <row r="863" spans="1:33" s="26" customFormat="1" ht="24" customHeight="1">
      <c r="A863" s="231">
        <f t="shared" si="371"/>
        <v>430</v>
      </c>
      <c r="B863" s="249" t="s">
        <v>648</v>
      </c>
      <c r="C863" s="232">
        <f t="shared" si="386"/>
        <v>6394429.75</v>
      </c>
      <c r="D863" s="293"/>
      <c r="E863" s="293"/>
      <c r="F863" s="293"/>
      <c r="G863" s="296"/>
      <c r="H863" s="293"/>
      <c r="I863" s="293"/>
      <c r="J863" s="293"/>
      <c r="K863" s="293"/>
      <c r="L863" s="296"/>
      <c r="M863" s="296"/>
      <c r="N863" s="846">
        <v>2</v>
      </c>
      <c r="O863" s="295">
        <v>6217772.4800000004</v>
      </c>
      <c r="P863" s="296"/>
      <c r="Q863" s="296"/>
      <c r="R863" s="293"/>
      <c r="S863" s="293"/>
      <c r="T863" s="293"/>
      <c r="U863" s="293"/>
      <c r="V863" s="268">
        <v>155509.62</v>
      </c>
      <c r="W863" s="230">
        <v>21147.65</v>
      </c>
      <c r="X863" s="293"/>
      <c r="Y863" s="230">
        <f t="shared" si="384"/>
        <v>6138652.5599999996</v>
      </c>
      <c r="Z863" s="230">
        <f t="shared" si="385"/>
        <v>255777.19</v>
      </c>
      <c r="AA863" s="293"/>
      <c r="AB863" s="293"/>
      <c r="AC863" s="800"/>
      <c r="AD863" s="231">
        <v>2024</v>
      </c>
      <c r="AE863" s="231">
        <v>2026</v>
      </c>
      <c r="AF863" s="25"/>
      <c r="AG863" s="262"/>
    </row>
    <row r="864" spans="1:33" s="26" customFormat="1" ht="24" customHeight="1">
      <c r="A864" s="231">
        <f t="shared" si="371"/>
        <v>431</v>
      </c>
      <c r="B864" s="249" t="s">
        <v>649</v>
      </c>
      <c r="C864" s="232">
        <f t="shared" si="386"/>
        <v>6394429.75</v>
      </c>
      <c r="D864" s="293"/>
      <c r="E864" s="403"/>
      <c r="F864" s="293"/>
      <c r="G864" s="296"/>
      <c r="H864" s="293"/>
      <c r="I864" s="293"/>
      <c r="J864" s="293"/>
      <c r="K864" s="293"/>
      <c r="L864" s="296"/>
      <c r="M864" s="296"/>
      <c r="N864" s="846">
        <v>2</v>
      </c>
      <c r="O864" s="295">
        <v>6217772.4800000004</v>
      </c>
      <c r="P864" s="296"/>
      <c r="Q864" s="296"/>
      <c r="R864" s="293"/>
      <c r="S864" s="293"/>
      <c r="T864" s="293"/>
      <c r="U864" s="293"/>
      <c r="V864" s="268">
        <v>155509.62</v>
      </c>
      <c r="W864" s="230">
        <v>21147.65</v>
      </c>
      <c r="X864" s="293"/>
      <c r="Y864" s="230">
        <f t="shared" si="384"/>
        <v>6138652.5599999996</v>
      </c>
      <c r="Z864" s="230">
        <f t="shared" si="385"/>
        <v>255777.19</v>
      </c>
      <c r="AA864" s="293"/>
      <c r="AB864" s="293"/>
      <c r="AC864" s="800"/>
      <c r="AD864" s="231">
        <v>2024</v>
      </c>
      <c r="AE864" s="231">
        <v>2026</v>
      </c>
      <c r="AF864" s="25"/>
      <c r="AG864" s="262"/>
    </row>
    <row r="865" spans="1:33" s="26" customFormat="1" ht="24" customHeight="1">
      <c r="A865" s="231">
        <f t="shared" si="371"/>
        <v>432</v>
      </c>
      <c r="B865" s="249" t="s">
        <v>1272</v>
      </c>
      <c r="C865" s="232">
        <f t="shared" si="386"/>
        <v>3196580.47</v>
      </c>
      <c r="D865" s="293"/>
      <c r="E865" s="403"/>
      <c r="F865" s="293"/>
      <c r="G865" s="296"/>
      <c r="H865" s="293"/>
      <c r="I865" s="293"/>
      <c r="J865" s="293"/>
      <c r="K865" s="293"/>
      <c r="L865" s="296"/>
      <c r="M865" s="296"/>
      <c r="N865" s="846">
        <v>1</v>
      </c>
      <c r="O865" s="297">
        <v>3108886.24</v>
      </c>
      <c r="P865" s="296"/>
      <c r="Q865" s="296"/>
      <c r="R865" s="293"/>
      <c r="S865" s="293"/>
      <c r="T865" s="293"/>
      <c r="U865" s="293"/>
      <c r="V865" s="268">
        <v>77754.81</v>
      </c>
      <c r="W865" s="252">
        <v>9939.42</v>
      </c>
      <c r="X865" s="293"/>
      <c r="Y865" s="230">
        <f t="shared" si="384"/>
        <v>3068717.25</v>
      </c>
      <c r="Z865" s="230">
        <f t="shared" si="385"/>
        <v>127863.22</v>
      </c>
      <c r="AA865" s="293"/>
      <c r="AB865" s="293"/>
      <c r="AC865" s="800"/>
      <c r="AD865" s="231">
        <v>2024</v>
      </c>
      <c r="AE865" s="231">
        <v>2026</v>
      </c>
      <c r="AF865" s="25"/>
      <c r="AG865" s="262"/>
    </row>
    <row r="866" spans="1:33" s="26" customFormat="1" ht="24" customHeight="1">
      <c r="A866" s="231">
        <f t="shared" si="371"/>
        <v>433</v>
      </c>
      <c r="B866" s="249" t="s">
        <v>1273</v>
      </c>
      <c r="C866" s="232">
        <f t="shared" si="386"/>
        <v>3197214.88</v>
      </c>
      <c r="D866" s="293"/>
      <c r="E866" s="403"/>
      <c r="F866" s="293"/>
      <c r="G866" s="296"/>
      <c r="H866" s="293"/>
      <c r="I866" s="293"/>
      <c r="J866" s="293"/>
      <c r="K866" s="293"/>
      <c r="L866" s="296"/>
      <c r="M866" s="296"/>
      <c r="N866" s="846">
        <v>1</v>
      </c>
      <c r="O866" s="297">
        <v>3108886.24</v>
      </c>
      <c r="P866" s="296"/>
      <c r="Q866" s="296"/>
      <c r="R866" s="293"/>
      <c r="S866" s="293"/>
      <c r="T866" s="293"/>
      <c r="U866" s="293"/>
      <c r="V866" s="268">
        <v>77754.81</v>
      </c>
      <c r="W866" s="252">
        <v>10573.83</v>
      </c>
      <c r="X866" s="293"/>
      <c r="Y866" s="230">
        <f t="shared" si="384"/>
        <v>3069326.28</v>
      </c>
      <c r="Z866" s="230">
        <f t="shared" si="385"/>
        <v>127888.6</v>
      </c>
      <c r="AA866" s="293"/>
      <c r="AB866" s="293"/>
      <c r="AC866" s="800"/>
      <c r="AD866" s="231">
        <v>2024</v>
      </c>
      <c r="AE866" s="231">
        <v>2026</v>
      </c>
      <c r="AF866" s="25"/>
      <c r="AG866" s="262"/>
    </row>
    <row r="867" spans="1:33" s="26" customFormat="1" ht="24" customHeight="1">
      <c r="A867" s="231">
        <f t="shared" si="371"/>
        <v>434</v>
      </c>
      <c r="B867" s="249" t="s">
        <v>1275</v>
      </c>
      <c r="C867" s="232">
        <f t="shared" si="386"/>
        <v>3005992.81</v>
      </c>
      <c r="D867" s="293"/>
      <c r="E867" s="403"/>
      <c r="F867" s="293"/>
      <c r="G867" s="296"/>
      <c r="H867" s="293"/>
      <c r="I867" s="293"/>
      <c r="J867" s="293"/>
      <c r="K867" s="293"/>
      <c r="L867" s="296"/>
      <c r="M867" s="296"/>
      <c r="N867" s="846">
        <v>1</v>
      </c>
      <c r="O867" s="297">
        <v>2922359.98</v>
      </c>
      <c r="P867" s="296"/>
      <c r="Q867" s="296"/>
      <c r="R867" s="293"/>
      <c r="S867" s="293"/>
      <c r="T867" s="293"/>
      <c r="U867" s="293"/>
      <c r="V867" s="268">
        <v>73059</v>
      </c>
      <c r="W867" s="252">
        <v>10573.83</v>
      </c>
      <c r="X867" s="293"/>
      <c r="Y867" s="230">
        <f t="shared" si="384"/>
        <v>2885753.1</v>
      </c>
      <c r="Z867" s="230">
        <f t="shared" si="385"/>
        <v>120239.71</v>
      </c>
      <c r="AA867" s="293"/>
      <c r="AB867" s="293"/>
      <c r="AC867" s="800"/>
      <c r="AD867" s="231">
        <v>2024</v>
      </c>
      <c r="AE867" s="231">
        <v>2026</v>
      </c>
      <c r="AF867" s="25"/>
      <c r="AG867" s="262"/>
    </row>
    <row r="868" spans="1:33" s="26" customFormat="1" ht="24" customHeight="1">
      <c r="A868" s="231">
        <f t="shared" si="371"/>
        <v>435</v>
      </c>
      <c r="B868" s="249" t="s">
        <v>650</v>
      </c>
      <c r="C868" s="232">
        <f t="shared" si="386"/>
        <v>6394429.75</v>
      </c>
      <c r="D868" s="293"/>
      <c r="E868" s="403"/>
      <c r="F868" s="293"/>
      <c r="G868" s="296"/>
      <c r="H868" s="293"/>
      <c r="I868" s="293"/>
      <c r="J868" s="293"/>
      <c r="K868" s="293"/>
      <c r="L868" s="296"/>
      <c r="M868" s="296"/>
      <c r="N868" s="846">
        <v>2</v>
      </c>
      <c r="O868" s="295">
        <v>6217772.4800000004</v>
      </c>
      <c r="P868" s="296"/>
      <c r="Q868" s="296"/>
      <c r="R868" s="293"/>
      <c r="S868" s="293"/>
      <c r="T868" s="293"/>
      <c r="U868" s="293"/>
      <c r="V868" s="268">
        <v>155509.62</v>
      </c>
      <c r="W868" s="230">
        <v>21147.65</v>
      </c>
      <c r="X868" s="293"/>
      <c r="Y868" s="230">
        <f t="shared" si="384"/>
        <v>6138652.5599999996</v>
      </c>
      <c r="Z868" s="230">
        <f t="shared" si="385"/>
        <v>255777.19</v>
      </c>
      <c r="AA868" s="293"/>
      <c r="AB868" s="293"/>
      <c r="AC868" s="800"/>
      <c r="AD868" s="231">
        <v>2024</v>
      </c>
      <c r="AE868" s="231">
        <v>2026</v>
      </c>
      <c r="AF868" s="25"/>
      <c r="AG868" s="262"/>
    </row>
    <row r="869" spans="1:33" s="26" customFormat="1" ht="24" customHeight="1">
      <c r="A869" s="231">
        <f t="shared" si="371"/>
        <v>436</v>
      </c>
      <c r="B869" s="445" t="s">
        <v>1274</v>
      </c>
      <c r="C869" s="418">
        <f t="shared" ref="C869:C870" si="387">D869+F869+G869+H869+I869+K869+L869+M869+O869+P869+Q869+R869+S869+W869+V869+X869</f>
        <v>19518680.059999999</v>
      </c>
      <c r="D869" s="428"/>
      <c r="E869" s="553"/>
      <c r="F869" s="428"/>
      <c r="G869" s="466"/>
      <c r="H869" s="429"/>
      <c r="I869" s="429"/>
      <c r="J869" s="420"/>
      <c r="K869" s="428"/>
      <c r="L869" s="428"/>
      <c r="M869" s="420"/>
      <c r="N869" s="851"/>
      <c r="O869" s="506"/>
      <c r="P869" s="417">
        <v>5671734.2400000002</v>
      </c>
      <c r="Q869" s="428"/>
      <c r="R869" s="425">
        <v>12484755.199999999</v>
      </c>
      <c r="S869" s="429"/>
      <c r="T869" s="429"/>
      <c r="U869" s="429"/>
      <c r="V869" s="431">
        <v>1270954.26</v>
      </c>
      <c r="W869" s="495">
        <v>91236.36</v>
      </c>
      <c r="X869" s="420"/>
      <c r="Y869" s="425">
        <f>C869*59%</f>
        <v>11516021.24</v>
      </c>
      <c r="Z869" s="425">
        <f>C869*41%</f>
        <v>8002658.8200000003</v>
      </c>
      <c r="AA869" s="420"/>
      <c r="AB869" s="425"/>
      <c r="AC869" s="426"/>
      <c r="AD869" s="231">
        <v>2024</v>
      </c>
      <c r="AE869" s="231">
        <v>2026</v>
      </c>
      <c r="AF869" s="91"/>
      <c r="AG869" s="262"/>
    </row>
    <row r="870" spans="1:33" s="26" customFormat="1" ht="24" customHeight="1">
      <c r="A870" s="231">
        <f t="shared" si="371"/>
        <v>437</v>
      </c>
      <c r="B870" s="435" t="s">
        <v>842</v>
      </c>
      <c r="C870" s="418">
        <f t="shared" si="387"/>
        <v>42946366.68</v>
      </c>
      <c r="D870" s="428"/>
      <c r="E870" s="553"/>
      <c r="F870" s="428"/>
      <c r="G870" s="466"/>
      <c r="H870" s="429"/>
      <c r="I870" s="429"/>
      <c r="J870" s="420"/>
      <c r="K870" s="428"/>
      <c r="L870" s="466"/>
      <c r="M870" s="420"/>
      <c r="N870" s="851"/>
      <c r="O870" s="506"/>
      <c r="P870" s="417">
        <v>17209462.100000001</v>
      </c>
      <c r="Q870" s="428"/>
      <c r="R870" s="425">
        <v>22803305.199999999</v>
      </c>
      <c r="S870" s="429"/>
      <c r="T870" s="429"/>
      <c r="U870" s="429"/>
      <c r="V870" s="431">
        <v>2800893.72</v>
      </c>
      <c r="W870" s="495">
        <v>132705.66</v>
      </c>
      <c r="X870" s="420"/>
      <c r="Y870" s="425">
        <f>C870*69%</f>
        <v>29632993.010000002</v>
      </c>
      <c r="Z870" s="425">
        <f>C870*31%</f>
        <v>13313373.67</v>
      </c>
      <c r="AA870" s="420"/>
      <c r="AB870" s="425"/>
      <c r="AC870" s="426"/>
      <c r="AD870" s="231">
        <v>2024</v>
      </c>
      <c r="AE870" s="231">
        <v>2026</v>
      </c>
      <c r="AF870" s="91"/>
      <c r="AG870" s="262"/>
    </row>
    <row r="871" spans="1:33" s="26" customFormat="1" ht="24" customHeight="1">
      <c r="A871" s="231">
        <f t="shared" si="371"/>
        <v>438</v>
      </c>
      <c r="B871" s="435" t="s">
        <v>580</v>
      </c>
      <c r="C871" s="493">
        <f>D871+F871+G871+H871+I871+K871+L871+M871+O871+P871+Q871+R871+S871+W871+V871+X871</f>
        <v>1861001.14</v>
      </c>
      <c r="D871" s="496"/>
      <c r="E871" s="855">
        <v>1</v>
      </c>
      <c r="F871" s="496">
        <v>1612809</v>
      </c>
      <c r="G871" s="497"/>
      <c r="H871" s="496"/>
      <c r="I871" s="496"/>
      <c r="J871" s="496"/>
      <c r="K871" s="496"/>
      <c r="L871" s="497"/>
      <c r="M871" s="497"/>
      <c r="N871" s="852"/>
      <c r="O871" s="497"/>
      <c r="P871" s="496"/>
      <c r="Q871" s="496"/>
      <c r="R871" s="496"/>
      <c r="S871" s="496"/>
      <c r="T871" s="496"/>
      <c r="U871" s="496"/>
      <c r="V871" s="504">
        <v>224000</v>
      </c>
      <c r="W871" s="425">
        <v>24192.14</v>
      </c>
      <c r="X871" s="496"/>
      <c r="Y871" s="496"/>
      <c r="Z871" s="496"/>
      <c r="AA871" s="496"/>
      <c r="AB871" s="496">
        <f>C871</f>
        <v>1861001.14</v>
      </c>
      <c r="AC871" s="498"/>
      <c r="AD871" s="231">
        <v>2024</v>
      </c>
      <c r="AE871" s="231">
        <v>2025</v>
      </c>
      <c r="AF871" s="25"/>
      <c r="AG871" s="91"/>
    </row>
    <row r="872" spans="1:33" s="26" customFormat="1" ht="24" customHeight="1">
      <c r="A872" s="231">
        <f t="shared" si="371"/>
        <v>439</v>
      </c>
      <c r="B872" s="435" t="s">
        <v>774</v>
      </c>
      <c r="C872" s="493">
        <f>D872+F872+G872+H872+I872+K872+L872+M872+O872+P872+Q872+R872+S872+W872+V872+X872</f>
        <v>8253620.6399999997</v>
      </c>
      <c r="D872" s="496"/>
      <c r="E872" s="855">
        <v>1</v>
      </c>
      <c r="F872" s="496">
        <v>1612809</v>
      </c>
      <c r="G872" s="497"/>
      <c r="H872" s="496"/>
      <c r="I872" s="496"/>
      <c r="J872" s="496"/>
      <c r="K872" s="496"/>
      <c r="L872" s="497"/>
      <c r="M872" s="497"/>
      <c r="N872" s="848">
        <v>2</v>
      </c>
      <c r="O872" s="205">
        <v>6217772.4800000004</v>
      </c>
      <c r="P872" s="496"/>
      <c r="Q872" s="496"/>
      <c r="R872" s="496"/>
      <c r="S872" s="496"/>
      <c r="T872" s="496"/>
      <c r="U872" s="496"/>
      <c r="V872" s="504">
        <f>224000+155509.62</f>
        <v>379509.62</v>
      </c>
      <c r="W872" s="425">
        <f>23466.38+20063.16</f>
        <v>43529.54</v>
      </c>
      <c r="X872" s="496"/>
      <c r="Y872" s="425">
        <f>6393345.26*59%</f>
        <v>3772073.7</v>
      </c>
      <c r="Z872" s="425">
        <f>6393345.26*41%+1860275.38</f>
        <v>4481546.9400000004</v>
      </c>
      <c r="AA872" s="496"/>
      <c r="AB872" s="496"/>
      <c r="AC872" s="498"/>
      <c r="AD872" s="231">
        <v>2024</v>
      </c>
      <c r="AE872" s="231">
        <v>2026</v>
      </c>
      <c r="AF872" s="91"/>
      <c r="AG872" s="262"/>
    </row>
    <row r="873" spans="1:33" s="26" customFormat="1" ht="24" customHeight="1">
      <c r="A873" s="231">
        <f t="shared" si="371"/>
        <v>440</v>
      </c>
      <c r="B873" s="435" t="s">
        <v>793</v>
      </c>
      <c r="C873" s="418">
        <f t="shared" ref="C873:C881" si="388">D873+F873+G873+H873+I873+K873+L873+M873+O873+P873+Q873+R873+S873+W873+V873+X873</f>
        <v>6403376.8499999996</v>
      </c>
      <c r="D873" s="428"/>
      <c r="E873" s="553"/>
      <c r="F873" s="428"/>
      <c r="G873" s="466"/>
      <c r="H873" s="429"/>
      <c r="I873" s="429"/>
      <c r="J873" s="420"/>
      <c r="K873" s="428"/>
      <c r="L873" s="466"/>
      <c r="M873" s="474"/>
      <c r="N873" s="848">
        <v>2</v>
      </c>
      <c r="O873" s="205">
        <v>6217772.4800000004</v>
      </c>
      <c r="P873" s="417"/>
      <c r="Q873" s="428"/>
      <c r="R873" s="420"/>
      <c r="S873" s="429"/>
      <c r="T873" s="429"/>
      <c r="U873" s="429"/>
      <c r="V873" s="431">
        <v>155509.62</v>
      </c>
      <c r="W873" s="495">
        <v>30094.75</v>
      </c>
      <c r="X873" s="420"/>
      <c r="Y873" s="425">
        <f t="shared" ref="Y873:Y876" si="389">C873*59%</f>
        <v>3777992.34</v>
      </c>
      <c r="Z873" s="425">
        <f t="shared" ref="Z873:Z876" si="390">C873*41%</f>
        <v>2625384.5099999998</v>
      </c>
      <c r="AA873" s="420"/>
      <c r="AB873" s="425"/>
      <c r="AC873" s="426"/>
      <c r="AD873" s="231">
        <v>2024</v>
      </c>
      <c r="AE873" s="231">
        <v>2026</v>
      </c>
      <c r="AF873" s="91"/>
      <c r="AG873" s="262"/>
    </row>
    <row r="874" spans="1:33" s="26" customFormat="1" ht="24" customHeight="1">
      <c r="A874" s="231">
        <f t="shared" si="371"/>
        <v>441</v>
      </c>
      <c r="B874" s="435" t="s">
        <v>794</v>
      </c>
      <c r="C874" s="418">
        <f t="shared" si="388"/>
        <v>9579986.3100000005</v>
      </c>
      <c r="D874" s="428"/>
      <c r="E874" s="553"/>
      <c r="F874" s="428"/>
      <c r="G874" s="466"/>
      <c r="H874" s="429"/>
      <c r="I874" s="429"/>
      <c r="J874" s="420"/>
      <c r="K874" s="428"/>
      <c r="L874" s="466"/>
      <c r="M874" s="474"/>
      <c r="N874" s="848">
        <v>3</v>
      </c>
      <c r="O874" s="205">
        <v>9326658.7200000007</v>
      </c>
      <c r="P874" s="417"/>
      <c r="Q874" s="428"/>
      <c r="R874" s="420"/>
      <c r="S874" s="429"/>
      <c r="T874" s="429"/>
      <c r="U874" s="429"/>
      <c r="V874" s="431">
        <v>233264.43</v>
      </c>
      <c r="W874" s="495">
        <v>20063.16</v>
      </c>
      <c r="X874" s="420"/>
      <c r="Y874" s="425">
        <f t="shared" si="389"/>
        <v>5652191.9199999999</v>
      </c>
      <c r="Z874" s="425">
        <f t="shared" si="390"/>
        <v>3927794.39</v>
      </c>
      <c r="AA874" s="420"/>
      <c r="AB874" s="425"/>
      <c r="AC874" s="426"/>
      <c r="AD874" s="231">
        <v>2024</v>
      </c>
      <c r="AE874" s="231">
        <v>2026</v>
      </c>
      <c r="AF874" s="91"/>
      <c r="AG874" s="262"/>
    </row>
    <row r="875" spans="1:33" s="26" customFormat="1" ht="24" customHeight="1">
      <c r="A875" s="231">
        <f t="shared" si="371"/>
        <v>442</v>
      </c>
      <c r="B875" s="435" t="s">
        <v>795</v>
      </c>
      <c r="C875" s="418">
        <f t="shared" si="388"/>
        <v>6382711.8099999996</v>
      </c>
      <c r="D875" s="428"/>
      <c r="E875" s="553"/>
      <c r="F875" s="428"/>
      <c r="G875" s="466"/>
      <c r="H875" s="429"/>
      <c r="I875" s="429"/>
      <c r="J875" s="420"/>
      <c r="K875" s="428"/>
      <c r="L875" s="466"/>
      <c r="M875" s="474"/>
      <c r="N875" s="848">
        <v>2</v>
      </c>
      <c r="O875" s="205">
        <v>6217772.4800000004</v>
      </c>
      <c r="P875" s="417"/>
      <c r="Q875" s="428"/>
      <c r="R875" s="420"/>
      <c r="S875" s="429"/>
      <c r="T875" s="429"/>
      <c r="U875" s="429"/>
      <c r="V875" s="431">
        <v>155509.62</v>
      </c>
      <c r="W875" s="495">
        <v>9429.7099999999991</v>
      </c>
      <c r="X875" s="420"/>
      <c r="Y875" s="425">
        <f t="shared" si="389"/>
        <v>3765799.97</v>
      </c>
      <c r="Z875" s="425">
        <f t="shared" si="390"/>
        <v>2616911.84</v>
      </c>
      <c r="AA875" s="420"/>
      <c r="AB875" s="425"/>
      <c r="AC875" s="426"/>
      <c r="AD875" s="231">
        <v>2024</v>
      </c>
      <c r="AE875" s="231">
        <v>2026</v>
      </c>
      <c r="AF875" s="91"/>
      <c r="AG875" s="262"/>
    </row>
    <row r="876" spans="1:33" s="26" customFormat="1" ht="24" customHeight="1">
      <c r="A876" s="231">
        <f t="shared" si="371"/>
        <v>443</v>
      </c>
      <c r="B876" s="435" t="s">
        <v>796</v>
      </c>
      <c r="C876" s="418">
        <f t="shared" si="388"/>
        <v>6394429.75</v>
      </c>
      <c r="D876" s="428"/>
      <c r="E876" s="553"/>
      <c r="F876" s="428"/>
      <c r="G876" s="466"/>
      <c r="H876" s="429"/>
      <c r="I876" s="429"/>
      <c r="J876" s="420"/>
      <c r="K876" s="428"/>
      <c r="L876" s="466"/>
      <c r="M876" s="474"/>
      <c r="N876" s="848">
        <v>2</v>
      </c>
      <c r="O876" s="205">
        <v>6217772.4800000004</v>
      </c>
      <c r="P876" s="417"/>
      <c r="Q876" s="428"/>
      <c r="R876" s="420"/>
      <c r="S876" s="429"/>
      <c r="T876" s="429"/>
      <c r="U876" s="429"/>
      <c r="V876" s="431">
        <v>155509.62</v>
      </c>
      <c r="W876" s="495">
        <v>21147.65</v>
      </c>
      <c r="X876" s="420"/>
      <c r="Y876" s="425">
        <f t="shared" si="389"/>
        <v>3772713.55</v>
      </c>
      <c r="Z876" s="425">
        <f t="shared" si="390"/>
        <v>2621716.2000000002</v>
      </c>
      <c r="AA876" s="420"/>
      <c r="AB876" s="425"/>
      <c r="AC876" s="426"/>
      <c r="AD876" s="231">
        <v>2024</v>
      </c>
      <c r="AE876" s="231">
        <v>2026</v>
      </c>
      <c r="AF876" s="91"/>
      <c r="AG876" s="262"/>
    </row>
    <row r="877" spans="1:33" s="26" customFormat="1" ht="24" customHeight="1">
      <c r="A877" s="231">
        <f t="shared" si="371"/>
        <v>444</v>
      </c>
      <c r="B877" s="435" t="s">
        <v>797</v>
      </c>
      <c r="C877" s="418">
        <f t="shared" si="388"/>
        <v>9590017.9000000004</v>
      </c>
      <c r="D877" s="428"/>
      <c r="E877" s="553"/>
      <c r="F877" s="428"/>
      <c r="G877" s="466"/>
      <c r="H877" s="429"/>
      <c r="I877" s="429"/>
      <c r="J877" s="420"/>
      <c r="K877" s="428"/>
      <c r="L877" s="466"/>
      <c r="M877" s="474"/>
      <c r="N877" s="848">
        <v>3</v>
      </c>
      <c r="O877" s="205">
        <v>9326658.7200000007</v>
      </c>
      <c r="P877" s="417"/>
      <c r="Q877" s="428"/>
      <c r="R877" s="420"/>
      <c r="S877" s="429"/>
      <c r="T877" s="429"/>
      <c r="U877" s="429"/>
      <c r="V877" s="431">
        <v>233264.43</v>
      </c>
      <c r="W877" s="495">
        <v>30094.75</v>
      </c>
      <c r="X877" s="420"/>
      <c r="Y877" s="425">
        <f>C877*69%</f>
        <v>6617112.3499999996</v>
      </c>
      <c r="Z877" s="425">
        <f>C877*31%</f>
        <v>2972905.55</v>
      </c>
      <c r="AA877" s="420"/>
      <c r="AB877" s="425"/>
      <c r="AC877" s="426"/>
      <c r="AD877" s="231">
        <v>2024</v>
      </c>
      <c r="AE877" s="231">
        <v>2026</v>
      </c>
      <c r="AF877" s="91"/>
      <c r="AG877" s="262"/>
    </row>
    <row r="878" spans="1:33" s="26" customFormat="1" ht="24" customHeight="1">
      <c r="A878" s="231">
        <f t="shared" si="371"/>
        <v>445</v>
      </c>
      <c r="B878" s="435" t="s">
        <v>798</v>
      </c>
      <c r="C878" s="418">
        <f t="shared" si="388"/>
        <v>3196672.63</v>
      </c>
      <c r="D878" s="428"/>
      <c r="E878" s="553"/>
      <c r="F878" s="428"/>
      <c r="G878" s="466"/>
      <c r="H878" s="429"/>
      <c r="I878" s="429"/>
      <c r="J878" s="420"/>
      <c r="K878" s="428"/>
      <c r="L878" s="466"/>
      <c r="M878" s="474"/>
      <c r="N878" s="848">
        <v>1</v>
      </c>
      <c r="O878" s="205">
        <v>3108886.24</v>
      </c>
      <c r="P878" s="417"/>
      <c r="Q878" s="428"/>
      <c r="R878" s="420"/>
      <c r="S878" s="429"/>
      <c r="T878" s="429"/>
      <c r="U878" s="429"/>
      <c r="V878" s="431">
        <v>77754.81</v>
      </c>
      <c r="W878" s="495">
        <v>10031.58</v>
      </c>
      <c r="X878" s="420"/>
      <c r="Y878" s="425">
        <f>C878*69%</f>
        <v>2205704.11</v>
      </c>
      <c r="Z878" s="425">
        <f>C878*31%</f>
        <v>990968.52</v>
      </c>
      <c r="AA878" s="420"/>
      <c r="AB878" s="425"/>
      <c r="AC878" s="426"/>
      <c r="AD878" s="231">
        <v>2024</v>
      </c>
      <c r="AE878" s="231">
        <v>2026</v>
      </c>
      <c r="AF878" s="91"/>
      <c r="AG878" s="262"/>
    </row>
    <row r="879" spans="1:33" s="26" customFormat="1" ht="24" customHeight="1">
      <c r="A879" s="231">
        <f t="shared" si="371"/>
        <v>446</v>
      </c>
      <c r="B879" s="435" t="s">
        <v>799</v>
      </c>
      <c r="C879" s="418">
        <f t="shared" si="388"/>
        <v>6393345.2599999998</v>
      </c>
      <c r="D879" s="428"/>
      <c r="E879" s="553"/>
      <c r="F879" s="428"/>
      <c r="G879" s="466"/>
      <c r="H879" s="429"/>
      <c r="I879" s="429"/>
      <c r="J879" s="420"/>
      <c r="K879" s="428"/>
      <c r="L879" s="466"/>
      <c r="M879" s="474"/>
      <c r="N879" s="848">
        <v>2</v>
      </c>
      <c r="O879" s="205">
        <v>6217772.4800000004</v>
      </c>
      <c r="P879" s="417"/>
      <c r="Q879" s="428"/>
      <c r="R879" s="420"/>
      <c r="S879" s="429"/>
      <c r="T879" s="429"/>
      <c r="U879" s="429"/>
      <c r="V879" s="431">
        <v>155509.62</v>
      </c>
      <c r="W879" s="495">
        <v>20063.16</v>
      </c>
      <c r="X879" s="420"/>
      <c r="Y879" s="425">
        <f>C879*69%</f>
        <v>4411408.2300000004</v>
      </c>
      <c r="Z879" s="425">
        <f>C879*31%</f>
        <v>1981937.03</v>
      </c>
      <c r="AA879" s="420"/>
      <c r="AB879" s="425"/>
      <c r="AC879" s="426"/>
      <c r="AD879" s="231">
        <v>2024</v>
      </c>
      <c r="AE879" s="231">
        <v>2026</v>
      </c>
      <c r="AF879" s="91"/>
      <c r="AG879" s="262"/>
    </row>
    <row r="880" spans="1:33" s="26" customFormat="1" ht="24" customHeight="1">
      <c r="A880" s="231">
        <f t="shared" si="371"/>
        <v>447</v>
      </c>
      <c r="B880" s="435" t="s">
        <v>800</v>
      </c>
      <c r="C880" s="418">
        <f t="shared" si="388"/>
        <v>6393345.2599999998</v>
      </c>
      <c r="D880" s="428"/>
      <c r="E880" s="553"/>
      <c r="F880" s="428"/>
      <c r="G880" s="466"/>
      <c r="H880" s="429"/>
      <c r="I880" s="429"/>
      <c r="J880" s="420"/>
      <c r="K880" s="428"/>
      <c r="L880" s="466"/>
      <c r="M880" s="474"/>
      <c r="N880" s="848">
        <v>2</v>
      </c>
      <c r="O880" s="205">
        <v>6217772.4800000004</v>
      </c>
      <c r="P880" s="417"/>
      <c r="Q880" s="428"/>
      <c r="R880" s="420"/>
      <c r="S880" s="429"/>
      <c r="T880" s="429"/>
      <c r="U880" s="429"/>
      <c r="V880" s="431">
        <v>155509.62</v>
      </c>
      <c r="W880" s="495">
        <v>20063.16</v>
      </c>
      <c r="X880" s="420"/>
      <c r="Y880" s="425">
        <f>C880*69%</f>
        <v>4411408.2300000004</v>
      </c>
      <c r="Z880" s="425">
        <f>C880*31%</f>
        <v>1981937.03</v>
      </c>
      <c r="AA880" s="420"/>
      <c r="AB880" s="425"/>
      <c r="AC880" s="426"/>
      <c r="AD880" s="231">
        <v>2024</v>
      </c>
      <c r="AE880" s="231">
        <v>2026</v>
      </c>
      <c r="AF880" s="91"/>
      <c r="AG880" s="262"/>
    </row>
    <row r="881" spans="1:33" s="26" customFormat="1" ht="24" customHeight="1">
      <c r="A881" s="231">
        <f t="shared" si="371"/>
        <v>448</v>
      </c>
      <c r="B881" s="435" t="s">
        <v>801</v>
      </c>
      <c r="C881" s="418">
        <f t="shared" si="388"/>
        <v>6393345.2599999998</v>
      </c>
      <c r="D881" s="428"/>
      <c r="E881" s="553"/>
      <c r="F881" s="428"/>
      <c r="G881" s="466"/>
      <c r="H881" s="429"/>
      <c r="I881" s="429"/>
      <c r="J881" s="420"/>
      <c r="K881" s="428"/>
      <c r="L881" s="466"/>
      <c r="M881" s="474"/>
      <c r="N881" s="848">
        <v>2</v>
      </c>
      <c r="O881" s="205">
        <v>6217772.4800000004</v>
      </c>
      <c r="P881" s="417"/>
      <c r="Q881" s="428"/>
      <c r="R881" s="420"/>
      <c r="S881" s="429"/>
      <c r="T881" s="429"/>
      <c r="U881" s="429"/>
      <c r="V881" s="431">
        <v>155509.62</v>
      </c>
      <c r="W881" s="495">
        <v>20063.16</v>
      </c>
      <c r="X881" s="420"/>
      <c r="Y881" s="425">
        <f>C881*69%</f>
        <v>4411408.2300000004</v>
      </c>
      <c r="Z881" s="425">
        <f>C881*31%</f>
        <v>1981937.03</v>
      </c>
      <c r="AA881" s="420"/>
      <c r="AB881" s="425"/>
      <c r="AC881" s="426"/>
      <c r="AD881" s="231">
        <v>2024</v>
      </c>
      <c r="AE881" s="231">
        <v>2026</v>
      </c>
      <c r="AF881" s="91"/>
      <c r="AG881" s="262"/>
    </row>
    <row r="882" spans="1:33" s="26" customFormat="1" ht="24" customHeight="1">
      <c r="A882" s="231">
        <f t="shared" si="371"/>
        <v>449</v>
      </c>
      <c r="B882" s="249" t="s">
        <v>320</v>
      </c>
      <c r="C882" s="291">
        <f t="shared" ref="C882:C886" si="391">D882+F882+G882+H882+I882+K882+L882+M882+O882+P882+Q882+R882+S882+W882+V882+X882</f>
        <v>1861001.14</v>
      </c>
      <c r="D882" s="293"/>
      <c r="E882" s="403">
        <v>1</v>
      </c>
      <c r="F882" s="293">
        <v>1612809</v>
      </c>
      <c r="G882" s="296"/>
      <c r="H882" s="293"/>
      <c r="I882" s="293"/>
      <c r="J882" s="293"/>
      <c r="K882" s="293"/>
      <c r="L882" s="296"/>
      <c r="M882" s="296"/>
      <c r="N882" s="853"/>
      <c r="O882" s="296"/>
      <c r="P882" s="293"/>
      <c r="Q882" s="293"/>
      <c r="R882" s="293"/>
      <c r="S882" s="293"/>
      <c r="T882" s="293"/>
      <c r="U882" s="293"/>
      <c r="V882" s="294">
        <v>224000</v>
      </c>
      <c r="W882" s="230">
        <v>24192.14</v>
      </c>
      <c r="X882" s="293"/>
      <c r="Y882" s="293"/>
      <c r="Z882" s="293"/>
      <c r="AA882" s="293"/>
      <c r="AB882" s="293">
        <f t="shared" ref="AB882:AB883" si="392">C882</f>
        <v>1861001.14</v>
      </c>
      <c r="AC882" s="800"/>
      <c r="AD882" s="231">
        <v>2024</v>
      </c>
      <c r="AE882" s="231">
        <v>2025</v>
      </c>
      <c r="AF882" s="25"/>
      <c r="AG882" s="91"/>
    </row>
    <row r="883" spans="1:33" s="26" customFormat="1" ht="24" customHeight="1">
      <c r="A883" s="231">
        <f t="shared" si="371"/>
        <v>450</v>
      </c>
      <c r="B883" s="249" t="s">
        <v>589</v>
      </c>
      <c r="C883" s="291">
        <f t="shared" si="391"/>
        <v>46687627.600000001</v>
      </c>
      <c r="D883" s="293"/>
      <c r="E883" s="403"/>
      <c r="F883" s="293"/>
      <c r="G883" s="296"/>
      <c r="H883" s="293"/>
      <c r="I883" s="293"/>
      <c r="J883" s="293"/>
      <c r="K883" s="293"/>
      <c r="L883" s="296"/>
      <c r="M883" s="296"/>
      <c r="N883" s="853"/>
      <c r="O883" s="296"/>
      <c r="P883" s="293">
        <v>13694184.98</v>
      </c>
      <c r="Q883" s="293"/>
      <c r="R883" s="293">
        <v>30143963</v>
      </c>
      <c r="S883" s="293"/>
      <c r="T883" s="293"/>
      <c r="U883" s="293"/>
      <c r="V883" s="294">
        <v>2191907.4</v>
      </c>
      <c r="W883" s="230">
        <v>657572.22</v>
      </c>
      <c r="X883" s="293"/>
      <c r="Y883" s="293"/>
      <c r="Z883" s="293"/>
      <c r="AA883" s="293"/>
      <c r="AB883" s="293">
        <f t="shared" si="392"/>
        <v>46687627.600000001</v>
      </c>
      <c r="AC883" s="800"/>
      <c r="AD883" s="231">
        <v>2024</v>
      </c>
      <c r="AE883" s="231">
        <v>2024</v>
      </c>
      <c r="AF883" s="25"/>
      <c r="AG883" s="91"/>
    </row>
    <row r="884" spans="1:33" s="26" customFormat="1" ht="24" customHeight="1">
      <c r="A884" s="231">
        <f t="shared" si="371"/>
        <v>451</v>
      </c>
      <c r="B884" s="435" t="s">
        <v>843</v>
      </c>
      <c r="C884" s="418">
        <f t="shared" si="391"/>
        <v>52171825.310000002</v>
      </c>
      <c r="D884" s="428"/>
      <c r="E884" s="426"/>
      <c r="F884" s="428"/>
      <c r="G884" s="466"/>
      <c r="H884" s="429"/>
      <c r="I884" s="429"/>
      <c r="J884" s="420"/>
      <c r="K884" s="428"/>
      <c r="L884" s="466"/>
      <c r="M884" s="420"/>
      <c r="N884" s="734"/>
      <c r="O884" s="428"/>
      <c r="P884" s="417">
        <v>20906286.620000001</v>
      </c>
      <c r="Q884" s="430"/>
      <c r="R884" s="425">
        <v>27701762.629999999</v>
      </c>
      <c r="S884" s="420"/>
      <c r="T884" s="420"/>
      <c r="U884" s="420"/>
      <c r="V884" s="431">
        <v>3402563.44</v>
      </c>
      <c r="W884" s="425">
        <v>161212.62</v>
      </c>
      <c r="X884" s="420"/>
      <c r="Y884" s="425">
        <f>C884*69%</f>
        <v>35998559.460000001</v>
      </c>
      <c r="Z884" s="425">
        <f>C884*31%</f>
        <v>16173265.85</v>
      </c>
      <c r="AA884" s="420"/>
      <c r="AB884" s="425"/>
      <c r="AC884" s="426"/>
      <c r="AD884" s="231">
        <v>2024</v>
      </c>
      <c r="AE884" s="231">
        <v>2026</v>
      </c>
      <c r="AF884" s="25"/>
      <c r="AG884" s="262"/>
    </row>
    <row r="885" spans="1:33" s="26" customFormat="1" ht="24" customHeight="1">
      <c r="A885" s="231">
        <f t="shared" si="371"/>
        <v>452</v>
      </c>
      <c r="B885" s="435" t="s">
        <v>844</v>
      </c>
      <c r="C885" s="418">
        <f t="shared" si="391"/>
        <v>12134435.869999999</v>
      </c>
      <c r="D885" s="428"/>
      <c r="E885" s="426"/>
      <c r="F885" s="428"/>
      <c r="G885" s="466"/>
      <c r="H885" s="429"/>
      <c r="I885" s="429"/>
      <c r="J885" s="420"/>
      <c r="K885" s="428"/>
      <c r="L885" s="466"/>
      <c r="M885" s="299"/>
      <c r="N885" s="734"/>
      <c r="O885" s="428"/>
      <c r="P885" s="417">
        <v>11305551.470000001</v>
      </c>
      <c r="Q885" s="430"/>
      <c r="R885" s="425"/>
      <c r="S885" s="420"/>
      <c r="T885" s="420"/>
      <c r="U885" s="420"/>
      <c r="V885" s="431">
        <v>791388.6</v>
      </c>
      <c r="W885" s="425">
        <v>37495.800000000003</v>
      </c>
      <c r="X885" s="420"/>
      <c r="Y885" s="425">
        <f t="shared" ref="Y885:Y886" si="393">C885*69%</f>
        <v>8372760.75</v>
      </c>
      <c r="Z885" s="425">
        <f t="shared" ref="Z885:Z886" si="394">C885*31%</f>
        <v>3761675.12</v>
      </c>
      <c r="AA885" s="420"/>
      <c r="AB885" s="425"/>
      <c r="AC885" s="426"/>
      <c r="AD885" s="231">
        <v>2024</v>
      </c>
      <c r="AE885" s="231">
        <v>2026</v>
      </c>
      <c r="AF885" s="25"/>
      <c r="AG885" s="262"/>
    </row>
    <row r="886" spans="1:33" s="26" customFormat="1" ht="24" customHeight="1">
      <c r="A886" s="231">
        <f t="shared" si="371"/>
        <v>453</v>
      </c>
      <c r="B886" s="435" t="s">
        <v>845</v>
      </c>
      <c r="C886" s="418">
        <f t="shared" si="391"/>
        <v>21283251.609999999</v>
      </c>
      <c r="D886" s="428"/>
      <c r="E886" s="426"/>
      <c r="F886" s="428"/>
      <c r="G886" s="466"/>
      <c r="H886" s="429"/>
      <c r="I886" s="429"/>
      <c r="J886" s="420"/>
      <c r="K886" s="428"/>
      <c r="L886" s="466"/>
      <c r="M886" s="299"/>
      <c r="N886" s="734"/>
      <c r="O886" s="428"/>
      <c r="P886" s="417">
        <v>19829425.870000001</v>
      </c>
      <c r="Q886" s="430"/>
      <c r="R886" s="425"/>
      <c r="S886" s="420"/>
      <c r="T886" s="420"/>
      <c r="U886" s="420"/>
      <c r="V886" s="431">
        <v>1388059.81</v>
      </c>
      <c r="W886" s="425">
        <v>65765.929999999993</v>
      </c>
      <c r="X886" s="420"/>
      <c r="Y886" s="425">
        <f t="shared" si="393"/>
        <v>14685443.609999999</v>
      </c>
      <c r="Z886" s="425">
        <f t="shared" si="394"/>
        <v>6597808</v>
      </c>
      <c r="AA886" s="420"/>
      <c r="AB886" s="425"/>
      <c r="AC886" s="426"/>
      <c r="AD886" s="231">
        <v>2024</v>
      </c>
      <c r="AE886" s="231">
        <v>2026</v>
      </c>
      <c r="AF886" s="25"/>
      <c r="AG886" s="262"/>
    </row>
    <row r="887" spans="1:33" s="26" customFormat="1" ht="24" customHeight="1">
      <c r="A887" s="231">
        <f t="shared" si="371"/>
        <v>454</v>
      </c>
      <c r="B887" s="249" t="s">
        <v>924</v>
      </c>
      <c r="C887" s="232">
        <f t="shared" ref="C887" si="395">D887+F887+G887+H887+I887+K887+L887+M887+O887+P887+Q887+R887+S887+U887+T887+V887+W887</f>
        <v>6394429.75</v>
      </c>
      <c r="D887" s="293"/>
      <c r="E887" s="403"/>
      <c r="F887" s="293"/>
      <c r="G887" s="296"/>
      <c r="H887" s="293"/>
      <c r="I887" s="293"/>
      <c r="J887" s="293"/>
      <c r="K887" s="293"/>
      <c r="L887" s="296"/>
      <c r="M887" s="296"/>
      <c r="N887" s="846">
        <v>2</v>
      </c>
      <c r="O887" s="295">
        <v>6217772.4800000004</v>
      </c>
      <c r="P887" s="296"/>
      <c r="Q887" s="296"/>
      <c r="R887" s="293"/>
      <c r="S887" s="293"/>
      <c r="T887" s="293"/>
      <c r="U887" s="293"/>
      <c r="V887" s="268">
        <v>155509.62</v>
      </c>
      <c r="W887" s="230">
        <v>21147.65</v>
      </c>
      <c r="X887" s="293"/>
      <c r="Y887" s="230">
        <f t="shared" ref="Y887" si="396">C887*96%</f>
        <v>6138652.5599999996</v>
      </c>
      <c r="Z887" s="230">
        <f t="shared" ref="Z887" si="397">C887*4%</f>
        <v>255777.19</v>
      </c>
      <c r="AA887" s="293"/>
      <c r="AB887" s="293"/>
      <c r="AC887" s="800"/>
      <c r="AD887" s="231">
        <v>2024</v>
      </c>
      <c r="AE887" s="231">
        <v>2026</v>
      </c>
      <c r="AF887" s="25"/>
      <c r="AG887" s="262"/>
    </row>
    <row r="888" spans="1:33" s="26" customFormat="1" ht="24" customHeight="1">
      <c r="A888" s="231">
        <f t="shared" si="371"/>
        <v>455</v>
      </c>
      <c r="B888" s="249" t="s">
        <v>925</v>
      </c>
      <c r="C888" s="232">
        <v>15910612.390000001</v>
      </c>
      <c r="D888" s="228"/>
      <c r="E888" s="403"/>
      <c r="F888" s="228"/>
      <c r="G888" s="182"/>
      <c r="H888" s="234"/>
      <c r="I888" s="234"/>
      <c r="J888" s="229"/>
      <c r="K888" s="228"/>
      <c r="L888" s="182"/>
      <c r="M888" s="185"/>
      <c r="N888" s="846"/>
      <c r="O888" s="182"/>
      <c r="P888" s="182"/>
      <c r="Q888" s="182"/>
      <c r="R888" s="242">
        <v>14868926.49</v>
      </c>
      <c r="S888" s="228"/>
      <c r="T888" s="228"/>
      <c r="U888" s="228"/>
      <c r="V888" s="292">
        <v>818652</v>
      </c>
      <c r="W888" s="252">
        <v>223033.9</v>
      </c>
      <c r="X888" s="229"/>
      <c r="Y888" s="229"/>
      <c r="Z888" s="229"/>
      <c r="AA888" s="229"/>
      <c r="AB888" s="230">
        <v>15910612.390000001</v>
      </c>
      <c r="AC888" s="231"/>
      <c r="AD888" s="231">
        <v>2023</v>
      </c>
      <c r="AE888" s="231">
        <v>2025</v>
      </c>
      <c r="AF888" s="25"/>
      <c r="AG888" s="91"/>
    </row>
    <row r="889" spans="1:33" s="26" customFormat="1" ht="24" customHeight="1">
      <c r="A889" s="231">
        <f t="shared" si="371"/>
        <v>456</v>
      </c>
      <c r="B889" s="249" t="s">
        <v>926</v>
      </c>
      <c r="C889" s="291">
        <f>D889+F889+G889+H889+I889+K889+L889+M889+O889+P889+Q889+R889+S889+W889+V889+X889</f>
        <v>1861001.14</v>
      </c>
      <c r="D889" s="293"/>
      <c r="E889" s="403">
        <v>1</v>
      </c>
      <c r="F889" s="293">
        <v>1612809</v>
      </c>
      <c r="G889" s="296"/>
      <c r="H889" s="293"/>
      <c r="I889" s="293"/>
      <c r="J889" s="293"/>
      <c r="K889" s="293"/>
      <c r="L889" s="296"/>
      <c r="M889" s="296"/>
      <c r="N889" s="853"/>
      <c r="O889" s="296"/>
      <c r="P889" s="293"/>
      <c r="Q889" s="293"/>
      <c r="R889" s="293"/>
      <c r="S889" s="293"/>
      <c r="T889" s="293"/>
      <c r="U889" s="293"/>
      <c r="V889" s="294">
        <v>224000</v>
      </c>
      <c r="W889" s="230">
        <v>24192.14</v>
      </c>
      <c r="X889" s="293"/>
      <c r="Y889" s="293"/>
      <c r="Z889" s="293"/>
      <c r="AA889" s="293"/>
      <c r="AB889" s="293">
        <f>C889</f>
        <v>1861001.14</v>
      </c>
      <c r="AC889" s="800"/>
      <c r="AD889" s="231">
        <v>2024</v>
      </c>
      <c r="AE889" s="231">
        <v>2025</v>
      </c>
      <c r="AF889" s="25"/>
      <c r="AG889" s="91"/>
    </row>
    <row r="890" spans="1:33" s="26" customFormat="1" ht="24" customHeight="1">
      <c r="A890" s="231">
        <f t="shared" si="371"/>
        <v>457</v>
      </c>
      <c r="B890" s="249" t="s">
        <v>927</v>
      </c>
      <c r="C890" s="232">
        <f t="shared" ref="C890" si="398">D890+F890+G890+H890+I890+K890+L890+M890+O890+P890+Q890+R890+S890+U890+T890+V890+W890</f>
        <v>6394429.75</v>
      </c>
      <c r="D890" s="293"/>
      <c r="E890" s="403"/>
      <c r="F890" s="293"/>
      <c r="G890" s="296"/>
      <c r="H890" s="293"/>
      <c r="I890" s="293"/>
      <c r="J890" s="293"/>
      <c r="K890" s="293"/>
      <c r="L890" s="296"/>
      <c r="M890" s="296"/>
      <c r="N890" s="846">
        <v>2</v>
      </c>
      <c r="O890" s="295">
        <v>6217772.4800000004</v>
      </c>
      <c r="P890" s="296"/>
      <c r="Q890" s="296"/>
      <c r="R890" s="293"/>
      <c r="S890" s="293"/>
      <c r="T890" s="293"/>
      <c r="U890" s="293"/>
      <c r="V890" s="268">
        <v>155509.62</v>
      </c>
      <c r="W890" s="230">
        <v>21147.65</v>
      </c>
      <c r="X890" s="293"/>
      <c r="Y890" s="230">
        <f t="shared" ref="Y890" si="399">C890*96%</f>
        <v>6138652.5599999996</v>
      </c>
      <c r="Z890" s="230">
        <f t="shared" ref="Z890" si="400">C890*4%</f>
        <v>255777.19</v>
      </c>
      <c r="AA890" s="293"/>
      <c r="AB890" s="293"/>
      <c r="AC890" s="800"/>
      <c r="AD890" s="231">
        <v>2024</v>
      </c>
      <c r="AE890" s="231">
        <v>2026</v>
      </c>
      <c r="AF890" s="25"/>
      <c r="AG890" s="262"/>
    </row>
    <row r="891" spans="1:33" s="26" customFormat="1" ht="24" customHeight="1">
      <c r="A891" s="231">
        <f t="shared" si="371"/>
        <v>458</v>
      </c>
      <c r="B891" s="249" t="s">
        <v>928</v>
      </c>
      <c r="C891" s="232">
        <v>26409835.780000001</v>
      </c>
      <c r="D891" s="228"/>
      <c r="E891" s="265"/>
      <c r="F891" s="228"/>
      <c r="G891" s="182"/>
      <c r="H891" s="234"/>
      <c r="I891" s="234"/>
      <c r="J891" s="229"/>
      <c r="K891" s="228"/>
      <c r="L891" s="182"/>
      <c r="M891" s="185"/>
      <c r="N891" s="846"/>
      <c r="O891" s="185"/>
      <c r="P891" s="182"/>
      <c r="Q891" s="182"/>
      <c r="R891" s="242">
        <v>25288925.890000001</v>
      </c>
      <c r="S891" s="228"/>
      <c r="T891" s="228"/>
      <c r="U891" s="228"/>
      <c r="V891" s="292">
        <v>741576</v>
      </c>
      <c r="W891" s="252">
        <v>379333.89</v>
      </c>
      <c r="X891" s="229"/>
      <c r="Y891" s="229"/>
      <c r="Z891" s="229"/>
      <c r="AA891" s="229"/>
      <c r="AB891" s="230">
        <v>26409835.780000001</v>
      </c>
      <c r="AC891" s="231"/>
      <c r="AD891" s="231">
        <v>2023</v>
      </c>
      <c r="AE891" s="231">
        <v>2025</v>
      </c>
      <c r="AF891" s="25"/>
      <c r="AG891" s="91"/>
    </row>
    <row r="892" spans="1:33" s="26" customFormat="1" ht="24" customHeight="1">
      <c r="A892" s="231">
        <f t="shared" si="371"/>
        <v>459</v>
      </c>
      <c r="B892" s="249" t="s">
        <v>651</v>
      </c>
      <c r="C892" s="232">
        <f>D892+F892+G892+H892+I892+K892+L892+M892+O892+P892+Q892+R892+S892+U892+T892+V892+W892</f>
        <v>12788859.51</v>
      </c>
      <c r="D892" s="228"/>
      <c r="E892" s="265"/>
      <c r="F892" s="228"/>
      <c r="G892" s="182"/>
      <c r="H892" s="234"/>
      <c r="I892" s="234"/>
      <c r="J892" s="229"/>
      <c r="K892" s="228"/>
      <c r="L892" s="182"/>
      <c r="M892" s="185"/>
      <c r="N892" s="846">
        <v>4</v>
      </c>
      <c r="O892" s="297">
        <v>12435544.960000001</v>
      </c>
      <c r="P892" s="182"/>
      <c r="Q892" s="182"/>
      <c r="R892" s="242"/>
      <c r="S892" s="228"/>
      <c r="T892" s="228"/>
      <c r="U892" s="228"/>
      <c r="V892" s="268">
        <v>311019.24</v>
      </c>
      <c r="W892" s="252">
        <v>42295.31</v>
      </c>
      <c r="X892" s="229"/>
      <c r="Y892" s="230">
        <f t="shared" ref="Y892" si="401">C892*96%</f>
        <v>12277305.130000001</v>
      </c>
      <c r="Z892" s="230">
        <f t="shared" ref="Z892" si="402">C892*4%</f>
        <v>511554.38</v>
      </c>
      <c r="AA892" s="229"/>
      <c r="AB892" s="293"/>
      <c r="AC892" s="231"/>
      <c r="AD892" s="231">
        <v>2024</v>
      </c>
      <c r="AE892" s="231">
        <v>2026</v>
      </c>
      <c r="AF892" s="25"/>
      <c r="AG892" s="262"/>
    </row>
    <row r="893" spans="1:33" s="26" customFormat="1" ht="24" customHeight="1">
      <c r="A893" s="231">
        <f t="shared" si="371"/>
        <v>460</v>
      </c>
      <c r="B893" s="435" t="s">
        <v>802</v>
      </c>
      <c r="C893" s="418">
        <f t="shared" ref="C893:C904" si="403">D893+F893+G893+H893+I893+K893+L893+M893+O893+P893+Q893+R893+S893+W893+V893+X893</f>
        <v>6393345.2599999998</v>
      </c>
      <c r="D893" s="428"/>
      <c r="E893" s="492"/>
      <c r="F893" s="428"/>
      <c r="G893" s="466"/>
      <c r="H893" s="429"/>
      <c r="I893" s="429"/>
      <c r="J893" s="420"/>
      <c r="K893" s="428"/>
      <c r="L893" s="466"/>
      <c r="M893" s="299"/>
      <c r="N893" s="854">
        <v>2</v>
      </c>
      <c r="O893" s="314">
        <v>6217772.4800000004</v>
      </c>
      <c r="P893" s="417"/>
      <c r="Q893" s="428"/>
      <c r="R893" s="420"/>
      <c r="S893" s="429"/>
      <c r="T893" s="429"/>
      <c r="U893" s="429"/>
      <c r="V893" s="431">
        <v>155509.62</v>
      </c>
      <c r="W893" s="495">
        <v>20063.16</v>
      </c>
      <c r="X893" s="420"/>
      <c r="Y893" s="425">
        <f>C893*69%</f>
        <v>4411408.2300000004</v>
      </c>
      <c r="Z893" s="425">
        <f>C893*31%</f>
        <v>1981937.03</v>
      </c>
      <c r="AA893" s="420"/>
      <c r="AB893" s="425"/>
      <c r="AC893" s="426"/>
      <c r="AD893" s="231">
        <v>2024</v>
      </c>
      <c r="AE893" s="231">
        <v>2026</v>
      </c>
      <c r="AF893" s="91"/>
      <c r="AG893" s="262"/>
    </row>
    <row r="894" spans="1:33" s="26" customFormat="1" ht="24" customHeight="1">
      <c r="A894" s="231">
        <f t="shared" si="371"/>
        <v>461</v>
      </c>
      <c r="B894" s="435" t="s">
        <v>803</v>
      </c>
      <c r="C894" s="418">
        <f t="shared" si="403"/>
        <v>6393345.2599999998</v>
      </c>
      <c r="D894" s="428"/>
      <c r="E894" s="492"/>
      <c r="F894" s="428"/>
      <c r="G894" s="466"/>
      <c r="H894" s="429"/>
      <c r="I894" s="429"/>
      <c r="J894" s="420"/>
      <c r="K894" s="428"/>
      <c r="L894" s="466"/>
      <c r="M894" s="474"/>
      <c r="N894" s="848">
        <v>2</v>
      </c>
      <c r="O894" s="205">
        <v>6217772.4800000004</v>
      </c>
      <c r="P894" s="417"/>
      <c r="Q894" s="428"/>
      <c r="R894" s="420"/>
      <c r="S894" s="429"/>
      <c r="T894" s="429"/>
      <c r="U894" s="429"/>
      <c r="V894" s="431">
        <v>155509.62</v>
      </c>
      <c r="W894" s="495">
        <v>20063.16</v>
      </c>
      <c r="X894" s="420"/>
      <c r="Y894" s="425">
        <f>C894*59%</f>
        <v>3772073.7</v>
      </c>
      <c r="Z894" s="425">
        <f>C894*41%</f>
        <v>2621271.56</v>
      </c>
      <c r="AA894" s="420"/>
      <c r="AB894" s="425"/>
      <c r="AC894" s="426"/>
      <c r="AD894" s="231">
        <v>2024</v>
      </c>
      <c r="AE894" s="231">
        <v>2026</v>
      </c>
      <c r="AF894" s="91"/>
      <c r="AG894" s="262"/>
    </row>
    <row r="895" spans="1:33" s="26" customFormat="1" ht="24" customHeight="1">
      <c r="A895" s="231">
        <f t="shared" si="371"/>
        <v>462</v>
      </c>
      <c r="B895" s="435" t="s">
        <v>804</v>
      </c>
      <c r="C895" s="418">
        <f t="shared" si="403"/>
        <v>6393345.2599999998</v>
      </c>
      <c r="D895" s="428"/>
      <c r="E895" s="492"/>
      <c r="F895" s="428"/>
      <c r="G895" s="466"/>
      <c r="H895" s="429"/>
      <c r="I895" s="429"/>
      <c r="J895" s="420"/>
      <c r="K895" s="428"/>
      <c r="L895" s="466"/>
      <c r="M895" s="474"/>
      <c r="N895" s="848">
        <v>2</v>
      </c>
      <c r="O895" s="205">
        <v>6217772.4800000004</v>
      </c>
      <c r="P895" s="417"/>
      <c r="Q895" s="428"/>
      <c r="R895" s="420"/>
      <c r="S895" s="429"/>
      <c r="T895" s="429"/>
      <c r="U895" s="429"/>
      <c r="V895" s="431">
        <v>155509.62</v>
      </c>
      <c r="W895" s="495">
        <v>20063.16</v>
      </c>
      <c r="X895" s="420"/>
      <c r="Y895" s="425">
        <f t="shared" ref="Y895:Y903" si="404">C895*59%</f>
        <v>3772073.7</v>
      </c>
      <c r="Z895" s="425">
        <f t="shared" ref="Z895:Z903" si="405">C895*41%</f>
        <v>2621271.56</v>
      </c>
      <c r="AA895" s="420"/>
      <c r="AB895" s="425"/>
      <c r="AC895" s="426"/>
      <c r="AD895" s="231">
        <v>2024</v>
      </c>
      <c r="AE895" s="231">
        <v>2026</v>
      </c>
      <c r="AF895" s="91"/>
      <c r="AG895" s="262"/>
    </row>
    <row r="896" spans="1:33" s="26" customFormat="1" ht="24" customHeight="1">
      <c r="A896" s="231">
        <f t="shared" si="371"/>
        <v>463</v>
      </c>
      <c r="B896" s="435" t="s">
        <v>805</v>
      </c>
      <c r="C896" s="418">
        <f t="shared" si="403"/>
        <v>3206704.21</v>
      </c>
      <c r="D896" s="428"/>
      <c r="E896" s="492"/>
      <c r="F896" s="428"/>
      <c r="G896" s="466"/>
      <c r="H896" s="429"/>
      <c r="I896" s="429"/>
      <c r="J896" s="420"/>
      <c r="K896" s="428"/>
      <c r="L896" s="466"/>
      <c r="M896" s="474"/>
      <c r="N896" s="848">
        <v>1</v>
      </c>
      <c r="O896" s="205">
        <v>3108886.24</v>
      </c>
      <c r="P896" s="417"/>
      <c r="Q896" s="428"/>
      <c r="R896" s="420"/>
      <c r="S896" s="429"/>
      <c r="T896" s="429"/>
      <c r="U896" s="429"/>
      <c r="V896" s="431">
        <v>77754.81</v>
      </c>
      <c r="W896" s="495">
        <v>20063.16</v>
      </c>
      <c r="X896" s="420"/>
      <c r="Y896" s="425">
        <f t="shared" si="404"/>
        <v>1891955.48</v>
      </c>
      <c r="Z896" s="425">
        <f t="shared" si="405"/>
        <v>1314748.73</v>
      </c>
      <c r="AA896" s="420"/>
      <c r="AB896" s="425"/>
      <c r="AC896" s="426"/>
      <c r="AD896" s="231">
        <v>2024</v>
      </c>
      <c r="AE896" s="231">
        <v>2026</v>
      </c>
      <c r="AF896" s="91"/>
      <c r="AG896" s="262"/>
    </row>
    <row r="897" spans="1:33" s="26" customFormat="1" ht="24" customHeight="1">
      <c r="A897" s="231">
        <f t="shared" si="371"/>
        <v>464</v>
      </c>
      <c r="B897" s="435" t="s">
        <v>806</v>
      </c>
      <c r="C897" s="418">
        <f t="shared" si="403"/>
        <v>3196672.63</v>
      </c>
      <c r="D897" s="428"/>
      <c r="E897" s="492"/>
      <c r="F897" s="428"/>
      <c r="G897" s="466"/>
      <c r="H897" s="429"/>
      <c r="I897" s="429"/>
      <c r="J897" s="420"/>
      <c r="K897" s="428"/>
      <c r="L897" s="466"/>
      <c r="M897" s="474"/>
      <c r="N897" s="848">
        <v>1</v>
      </c>
      <c r="O897" s="205">
        <v>3108886.24</v>
      </c>
      <c r="P897" s="417"/>
      <c r="Q897" s="428"/>
      <c r="R897" s="420"/>
      <c r="S897" s="429"/>
      <c r="T897" s="429"/>
      <c r="U897" s="429"/>
      <c r="V897" s="431">
        <v>77754.81</v>
      </c>
      <c r="W897" s="495">
        <v>10031.58</v>
      </c>
      <c r="X897" s="420"/>
      <c r="Y897" s="425">
        <f t="shared" si="404"/>
        <v>1886036.85</v>
      </c>
      <c r="Z897" s="425">
        <f t="shared" si="405"/>
        <v>1310635.78</v>
      </c>
      <c r="AA897" s="420"/>
      <c r="AB897" s="425"/>
      <c r="AC897" s="426"/>
      <c r="AD897" s="231">
        <v>2024</v>
      </c>
      <c r="AE897" s="231">
        <v>2026</v>
      </c>
      <c r="AF897" s="91"/>
      <c r="AG897" s="262"/>
    </row>
    <row r="898" spans="1:33" s="26" customFormat="1" ht="24" customHeight="1">
      <c r="A898" s="231">
        <f t="shared" si="371"/>
        <v>465</v>
      </c>
      <c r="B898" s="435" t="s">
        <v>807</v>
      </c>
      <c r="C898" s="418">
        <f t="shared" si="403"/>
        <v>6383313.6799999997</v>
      </c>
      <c r="D898" s="428"/>
      <c r="E898" s="492"/>
      <c r="F898" s="428"/>
      <c r="G898" s="466"/>
      <c r="H898" s="429"/>
      <c r="I898" s="429"/>
      <c r="J898" s="420"/>
      <c r="K898" s="428"/>
      <c r="L898" s="466"/>
      <c r="M898" s="474"/>
      <c r="N898" s="848">
        <v>2</v>
      </c>
      <c r="O898" s="205">
        <v>6217772.4800000004</v>
      </c>
      <c r="P898" s="417"/>
      <c r="Q898" s="428"/>
      <c r="R898" s="420"/>
      <c r="S898" s="429"/>
      <c r="T898" s="429"/>
      <c r="U898" s="429"/>
      <c r="V898" s="431">
        <v>155509.62</v>
      </c>
      <c r="W898" s="495">
        <v>10031.58</v>
      </c>
      <c r="X898" s="420"/>
      <c r="Y898" s="425">
        <f t="shared" si="404"/>
        <v>3766155.07</v>
      </c>
      <c r="Z898" s="425">
        <f t="shared" si="405"/>
        <v>2617158.61</v>
      </c>
      <c r="AA898" s="420"/>
      <c r="AB898" s="425"/>
      <c r="AC898" s="426"/>
      <c r="AD898" s="231">
        <v>2024</v>
      </c>
      <c r="AE898" s="231">
        <v>2026</v>
      </c>
      <c r="AF898" s="91"/>
      <c r="AG898" s="262"/>
    </row>
    <row r="899" spans="1:33" s="26" customFormat="1" ht="24" customHeight="1">
      <c r="A899" s="231">
        <f t="shared" si="371"/>
        <v>466</v>
      </c>
      <c r="B899" s="435" t="s">
        <v>808</v>
      </c>
      <c r="C899" s="418">
        <f t="shared" si="403"/>
        <v>6393345.2599999998</v>
      </c>
      <c r="D899" s="428"/>
      <c r="E899" s="492"/>
      <c r="F899" s="428"/>
      <c r="G899" s="466"/>
      <c r="H899" s="429"/>
      <c r="I899" s="429"/>
      <c r="J899" s="420"/>
      <c r="K899" s="428"/>
      <c r="L899" s="466"/>
      <c r="M899" s="474"/>
      <c r="N899" s="848">
        <v>2</v>
      </c>
      <c r="O899" s="205">
        <v>6217772.4800000004</v>
      </c>
      <c r="P899" s="417"/>
      <c r="Q899" s="428"/>
      <c r="R899" s="420"/>
      <c r="S899" s="429"/>
      <c r="T899" s="429"/>
      <c r="U899" s="429"/>
      <c r="V899" s="431">
        <v>155509.62</v>
      </c>
      <c r="W899" s="495">
        <v>20063.16</v>
      </c>
      <c r="X899" s="420"/>
      <c r="Y899" s="425">
        <f t="shared" si="404"/>
        <v>3772073.7</v>
      </c>
      <c r="Z899" s="425">
        <f t="shared" si="405"/>
        <v>2621271.56</v>
      </c>
      <c r="AA899" s="420"/>
      <c r="AB899" s="425"/>
      <c r="AC899" s="426"/>
      <c r="AD899" s="231">
        <v>2024</v>
      </c>
      <c r="AE899" s="231">
        <v>2026</v>
      </c>
      <c r="AF899" s="91"/>
      <c r="AG899" s="262"/>
    </row>
    <row r="900" spans="1:33" s="26" customFormat="1" ht="24" customHeight="1">
      <c r="A900" s="231">
        <f t="shared" si="371"/>
        <v>467</v>
      </c>
      <c r="B900" s="435" t="s">
        <v>929</v>
      </c>
      <c r="C900" s="418">
        <f t="shared" si="403"/>
        <v>3206704.21</v>
      </c>
      <c r="D900" s="428"/>
      <c r="E900" s="492"/>
      <c r="F900" s="428"/>
      <c r="G900" s="466"/>
      <c r="H900" s="429"/>
      <c r="I900" s="429"/>
      <c r="J900" s="420"/>
      <c r="K900" s="428"/>
      <c r="L900" s="466"/>
      <c r="M900" s="474"/>
      <c r="N900" s="848">
        <v>1</v>
      </c>
      <c r="O900" s="205">
        <v>3108886.24</v>
      </c>
      <c r="P900" s="417"/>
      <c r="Q900" s="428"/>
      <c r="R900" s="420"/>
      <c r="S900" s="429"/>
      <c r="T900" s="429"/>
      <c r="U900" s="429"/>
      <c r="V900" s="431">
        <v>77754.81</v>
      </c>
      <c r="W900" s="495">
        <v>20063.16</v>
      </c>
      <c r="X900" s="420"/>
      <c r="Y900" s="425">
        <f t="shared" si="404"/>
        <v>1891955.48</v>
      </c>
      <c r="Z900" s="425">
        <f t="shared" si="405"/>
        <v>1314748.73</v>
      </c>
      <c r="AA900" s="420"/>
      <c r="AB900" s="425"/>
      <c r="AC900" s="426"/>
      <c r="AD900" s="231">
        <v>2024</v>
      </c>
      <c r="AE900" s="231">
        <v>2026</v>
      </c>
      <c r="AF900" s="91"/>
      <c r="AG900" s="262"/>
    </row>
    <row r="901" spans="1:33" s="26" customFormat="1" ht="24" customHeight="1">
      <c r="A901" s="231">
        <f t="shared" si="371"/>
        <v>468</v>
      </c>
      <c r="B901" s="435" t="s">
        <v>930</v>
      </c>
      <c r="C901" s="418">
        <f t="shared" si="403"/>
        <v>3196672.63</v>
      </c>
      <c r="D901" s="428"/>
      <c r="E901" s="492"/>
      <c r="F901" s="428"/>
      <c r="G901" s="466"/>
      <c r="H901" s="429"/>
      <c r="I901" s="429"/>
      <c r="J901" s="420"/>
      <c r="K901" s="428"/>
      <c r="L901" s="466"/>
      <c r="M901" s="474"/>
      <c r="N901" s="848">
        <v>1</v>
      </c>
      <c r="O901" s="205">
        <v>3108886.24</v>
      </c>
      <c r="P901" s="417"/>
      <c r="Q901" s="428"/>
      <c r="R901" s="420"/>
      <c r="S901" s="429"/>
      <c r="T901" s="429"/>
      <c r="U901" s="429"/>
      <c r="V901" s="431">
        <v>77754.81</v>
      </c>
      <c r="W901" s="495">
        <v>10031.58</v>
      </c>
      <c r="X901" s="420"/>
      <c r="Y901" s="425">
        <f t="shared" si="404"/>
        <v>1886036.85</v>
      </c>
      <c r="Z901" s="425">
        <f t="shared" si="405"/>
        <v>1310635.78</v>
      </c>
      <c r="AA901" s="420"/>
      <c r="AB901" s="425"/>
      <c r="AC901" s="426"/>
      <c r="AD901" s="231">
        <v>2024</v>
      </c>
      <c r="AE901" s="231">
        <v>2026</v>
      </c>
      <c r="AF901" s="91"/>
      <c r="AG901" s="262"/>
    </row>
    <row r="902" spans="1:33" s="26" customFormat="1" ht="24" customHeight="1">
      <c r="A902" s="231">
        <f t="shared" ref="A902:A965" si="406">A901+1</f>
        <v>469</v>
      </c>
      <c r="B902" s="435" t="s">
        <v>809</v>
      </c>
      <c r="C902" s="418">
        <f t="shared" si="403"/>
        <v>9569954.7300000004</v>
      </c>
      <c r="D902" s="428"/>
      <c r="E902" s="492"/>
      <c r="F902" s="428"/>
      <c r="G902" s="466"/>
      <c r="H902" s="429"/>
      <c r="I902" s="429"/>
      <c r="J902" s="420"/>
      <c r="K902" s="428"/>
      <c r="L902" s="466"/>
      <c r="M902" s="474"/>
      <c r="N902" s="848">
        <v>3</v>
      </c>
      <c r="O902" s="205">
        <v>9326658.7200000007</v>
      </c>
      <c r="P902" s="417"/>
      <c r="Q902" s="428"/>
      <c r="R902" s="420"/>
      <c r="S902" s="429"/>
      <c r="T902" s="429"/>
      <c r="U902" s="429"/>
      <c r="V902" s="431">
        <v>233264.43</v>
      </c>
      <c r="W902" s="495">
        <v>10031.58</v>
      </c>
      <c r="X902" s="420"/>
      <c r="Y902" s="425">
        <f t="shared" si="404"/>
        <v>5646273.29</v>
      </c>
      <c r="Z902" s="425">
        <f t="shared" si="405"/>
        <v>3923681.44</v>
      </c>
      <c r="AA902" s="420"/>
      <c r="AB902" s="425"/>
      <c r="AC902" s="426"/>
      <c r="AD902" s="231">
        <v>2024</v>
      </c>
      <c r="AE902" s="231">
        <v>2026</v>
      </c>
      <c r="AF902" s="91"/>
      <c r="AG902" s="262"/>
    </row>
    <row r="903" spans="1:33" s="26" customFormat="1" ht="24" customHeight="1">
      <c r="A903" s="231">
        <f t="shared" si="406"/>
        <v>470</v>
      </c>
      <c r="B903" s="435" t="s">
        <v>810</v>
      </c>
      <c r="C903" s="418">
        <f t="shared" si="403"/>
        <v>9590017.9000000004</v>
      </c>
      <c r="D903" s="428"/>
      <c r="E903" s="492"/>
      <c r="F903" s="428"/>
      <c r="G903" s="466"/>
      <c r="H903" s="429"/>
      <c r="I903" s="429"/>
      <c r="J903" s="420"/>
      <c r="K903" s="428"/>
      <c r="L903" s="466"/>
      <c r="M903" s="474"/>
      <c r="N903" s="848">
        <v>3</v>
      </c>
      <c r="O903" s="205">
        <v>9326658.7200000007</v>
      </c>
      <c r="P903" s="417"/>
      <c r="Q903" s="428"/>
      <c r="R903" s="420"/>
      <c r="S903" s="429"/>
      <c r="T903" s="429"/>
      <c r="U903" s="429"/>
      <c r="V903" s="431">
        <v>233264.43</v>
      </c>
      <c r="W903" s="495">
        <v>30094.75</v>
      </c>
      <c r="X903" s="420"/>
      <c r="Y903" s="425">
        <f t="shared" si="404"/>
        <v>5658110.5599999996</v>
      </c>
      <c r="Z903" s="425">
        <f t="shared" si="405"/>
        <v>3931907.34</v>
      </c>
      <c r="AA903" s="420"/>
      <c r="AB903" s="425"/>
      <c r="AC903" s="426"/>
      <c r="AD903" s="231">
        <v>2024</v>
      </c>
      <c r="AE903" s="231">
        <v>2026</v>
      </c>
      <c r="AF903" s="91"/>
      <c r="AG903" s="262"/>
    </row>
    <row r="904" spans="1:33" s="26" customFormat="1" ht="24" customHeight="1">
      <c r="A904" s="231">
        <f t="shared" si="406"/>
        <v>471</v>
      </c>
      <c r="B904" s="435" t="s">
        <v>350</v>
      </c>
      <c r="C904" s="418">
        <f t="shared" si="403"/>
        <v>37306264.5</v>
      </c>
      <c r="D904" s="428"/>
      <c r="E904" s="492"/>
      <c r="F904" s="428"/>
      <c r="G904" s="466"/>
      <c r="H904" s="429"/>
      <c r="I904" s="429"/>
      <c r="J904" s="420"/>
      <c r="K904" s="428"/>
      <c r="L904" s="466"/>
      <c r="M904" s="474"/>
      <c r="N904" s="849"/>
      <c r="O904" s="474"/>
      <c r="P904" s="466"/>
      <c r="Q904" s="466">
        <v>11351595.16</v>
      </c>
      <c r="R904" s="428"/>
      <c r="S904" s="428">
        <v>22530050.510000002</v>
      </c>
      <c r="T904" s="428"/>
      <c r="U904" s="428"/>
      <c r="V904" s="417">
        <v>3367240</v>
      </c>
      <c r="W904" s="495">
        <v>57378.83</v>
      </c>
      <c r="X904" s="420"/>
      <c r="Y904" s="420"/>
      <c r="Z904" s="425">
        <f>C904</f>
        <v>37306264.5</v>
      </c>
      <c r="AA904" s="420"/>
      <c r="AB904" s="425"/>
      <c r="AC904" s="426"/>
      <c r="AD904" s="231">
        <v>2023</v>
      </c>
      <c r="AE904" s="231">
        <v>2025</v>
      </c>
      <c r="AF904" s="25"/>
      <c r="AG904" s="91"/>
    </row>
    <row r="905" spans="1:33" s="26" customFormat="1" ht="24" customHeight="1">
      <c r="A905" s="231">
        <f t="shared" si="406"/>
        <v>472</v>
      </c>
      <c r="B905" s="249" t="s">
        <v>652</v>
      </c>
      <c r="C905" s="291">
        <f t="shared" ref="C905:C917" si="407">D905+F905+G905+H905+I905+K905+L905+M905+O905+P905+Q905+R905+S905+W905+V905+X905</f>
        <v>6394429.75</v>
      </c>
      <c r="D905" s="228"/>
      <c r="E905" s="265"/>
      <c r="F905" s="228"/>
      <c r="G905" s="182"/>
      <c r="H905" s="234"/>
      <c r="I905" s="234"/>
      <c r="J905" s="229"/>
      <c r="K905" s="228"/>
      <c r="L905" s="182"/>
      <c r="M905" s="185"/>
      <c r="N905" s="846">
        <v>2</v>
      </c>
      <c r="O905" s="295">
        <v>6217772.4800000004</v>
      </c>
      <c r="P905" s="182"/>
      <c r="Q905" s="182"/>
      <c r="R905" s="228"/>
      <c r="S905" s="228"/>
      <c r="T905" s="228"/>
      <c r="U905" s="228"/>
      <c r="V905" s="268">
        <v>155509.62</v>
      </c>
      <c r="W905" s="230">
        <v>21147.65</v>
      </c>
      <c r="X905" s="229"/>
      <c r="Y905" s="230">
        <f t="shared" ref="Y905:Y908" si="408">C905*96%</f>
        <v>6138652.5599999996</v>
      </c>
      <c r="Z905" s="230">
        <f t="shared" ref="Z905:Z908" si="409">C905*4%</f>
        <v>255777.19</v>
      </c>
      <c r="AA905" s="229"/>
      <c r="AB905" s="230"/>
      <c r="AC905" s="231"/>
      <c r="AD905" s="231">
        <v>2024</v>
      </c>
      <c r="AE905" s="231">
        <v>2026</v>
      </c>
      <c r="AF905" s="25"/>
      <c r="AG905" s="262"/>
    </row>
    <row r="906" spans="1:33" s="26" customFormat="1" ht="24" customHeight="1">
      <c r="A906" s="231">
        <f t="shared" si="406"/>
        <v>473</v>
      </c>
      <c r="B906" s="249" t="s">
        <v>653</v>
      </c>
      <c r="C906" s="291">
        <f t="shared" si="407"/>
        <v>6394429.75</v>
      </c>
      <c r="D906" s="228"/>
      <c r="E906" s="265"/>
      <c r="F906" s="228"/>
      <c r="G906" s="182"/>
      <c r="H906" s="234"/>
      <c r="I906" s="234"/>
      <c r="J906" s="229"/>
      <c r="K906" s="228"/>
      <c r="L906" s="182"/>
      <c r="M906" s="185"/>
      <c r="N906" s="846">
        <v>2</v>
      </c>
      <c r="O906" s="295">
        <v>6217772.4800000004</v>
      </c>
      <c r="P906" s="182"/>
      <c r="Q906" s="182"/>
      <c r="R906" s="228"/>
      <c r="S906" s="228"/>
      <c r="T906" s="228"/>
      <c r="U906" s="228"/>
      <c r="V906" s="268">
        <v>155509.62</v>
      </c>
      <c r="W906" s="230">
        <v>21147.65</v>
      </c>
      <c r="X906" s="229"/>
      <c r="Y906" s="230">
        <f t="shared" si="408"/>
        <v>6138652.5599999996</v>
      </c>
      <c r="Z906" s="230">
        <f t="shared" si="409"/>
        <v>255777.19</v>
      </c>
      <c r="AA906" s="229"/>
      <c r="AB906" s="230"/>
      <c r="AC906" s="231"/>
      <c r="AD906" s="231">
        <v>2024</v>
      </c>
      <c r="AE906" s="231">
        <v>2026</v>
      </c>
      <c r="AF906" s="25"/>
      <c r="AG906" s="262"/>
    </row>
    <row r="907" spans="1:33" s="26" customFormat="1" ht="24" customHeight="1">
      <c r="A907" s="231">
        <f t="shared" si="406"/>
        <v>474</v>
      </c>
      <c r="B907" s="249" t="s">
        <v>654</v>
      </c>
      <c r="C907" s="291">
        <f t="shared" si="407"/>
        <v>6394429.75</v>
      </c>
      <c r="D907" s="228"/>
      <c r="E907" s="265"/>
      <c r="F907" s="228"/>
      <c r="G907" s="182"/>
      <c r="H907" s="234"/>
      <c r="I907" s="234"/>
      <c r="J907" s="229"/>
      <c r="K907" s="228"/>
      <c r="L907" s="182"/>
      <c r="M907" s="185"/>
      <c r="N907" s="846">
        <v>2</v>
      </c>
      <c r="O907" s="295">
        <v>6217772.4800000004</v>
      </c>
      <c r="P907" s="182"/>
      <c r="Q907" s="182"/>
      <c r="R907" s="228"/>
      <c r="S907" s="228"/>
      <c r="T907" s="228"/>
      <c r="U907" s="228"/>
      <c r="V907" s="268">
        <v>155509.62</v>
      </c>
      <c r="W907" s="230">
        <v>21147.65</v>
      </c>
      <c r="X907" s="229"/>
      <c r="Y907" s="230">
        <f t="shared" si="408"/>
        <v>6138652.5599999996</v>
      </c>
      <c r="Z907" s="230">
        <f t="shared" si="409"/>
        <v>255777.19</v>
      </c>
      <c r="AA907" s="229"/>
      <c r="AB907" s="230"/>
      <c r="AC907" s="231"/>
      <c r="AD907" s="231">
        <v>2024</v>
      </c>
      <c r="AE907" s="231">
        <v>2026</v>
      </c>
      <c r="AF907" s="25"/>
      <c r="AG907" s="262"/>
    </row>
    <row r="908" spans="1:33" s="26" customFormat="1" ht="24" customHeight="1">
      <c r="A908" s="231">
        <f t="shared" si="406"/>
        <v>475</v>
      </c>
      <c r="B908" s="249" t="s">
        <v>655</v>
      </c>
      <c r="C908" s="291">
        <f t="shared" si="407"/>
        <v>6394429.75</v>
      </c>
      <c r="D908" s="228"/>
      <c r="E908" s="265"/>
      <c r="F908" s="228"/>
      <c r="G908" s="182"/>
      <c r="H908" s="234"/>
      <c r="I908" s="234"/>
      <c r="J908" s="229"/>
      <c r="K908" s="228"/>
      <c r="L908" s="182"/>
      <c r="M908" s="185"/>
      <c r="N908" s="846">
        <v>2</v>
      </c>
      <c r="O908" s="295">
        <v>6217772.4800000004</v>
      </c>
      <c r="P908" s="182"/>
      <c r="Q908" s="182"/>
      <c r="R908" s="228"/>
      <c r="S908" s="228"/>
      <c r="T908" s="228"/>
      <c r="U908" s="228"/>
      <c r="V908" s="268">
        <v>155509.62</v>
      </c>
      <c r="W908" s="230">
        <v>21147.65</v>
      </c>
      <c r="X908" s="229"/>
      <c r="Y908" s="230">
        <f t="shared" si="408"/>
        <v>6138652.5599999996</v>
      </c>
      <c r="Z908" s="230">
        <f t="shared" si="409"/>
        <v>255777.19</v>
      </c>
      <c r="AA908" s="229"/>
      <c r="AB908" s="230"/>
      <c r="AC908" s="231"/>
      <c r="AD908" s="231">
        <v>2024</v>
      </c>
      <c r="AE908" s="231">
        <v>2026</v>
      </c>
      <c r="AF908" s="25"/>
      <c r="AG908" s="262"/>
    </row>
    <row r="909" spans="1:33" s="26" customFormat="1" ht="24" customHeight="1">
      <c r="A909" s="231">
        <f t="shared" si="406"/>
        <v>476</v>
      </c>
      <c r="B909" s="249" t="s">
        <v>236</v>
      </c>
      <c r="C909" s="232">
        <f t="shared" si="407"/>
        <v>5617661.8799999999</v>
      </c>
      <c r="D909" s="228">
        <f>ROUND(644.5*589.88,2)</f>
        <v>380177.66</v>
      </c>
      <c r="E909" s="231"/>
      <c r="F909" s="228"/>
      <c r="G909" s="182">
        <f>ROUND(644.5*596.38,2)</f>
        <v>384366.91</v>
      </c>
      <c r="H909" s="234">
        <f>644.5*1074.75</f>
        <v>692676.38</v>
      </c>
      <c r="I909" s="234">
        <f>644.5*4857.9</f>
        <v>3130916.55</v>
      </c>
      <c r="J909" s="229"/>
      <c r="K909" s="228"/>
      <c r="L909" s="182">
        <f>644.5*616.25</f>
        <v>397173.13</v>
      </c>
      <c r="M909" s="185"/>
      <c r="N909" s="846"/>
      <c r="O909" s="182"/>
      <c r="P909" s="236"/>
      <c r="Q909" s="298"/>
      <c r="R909" s="229"/>
      <c r="S909" s="229"/>
      <c r="T909" s="229"/>
      <c r="U909" s="229"/>
      <c r="V909" s="268">
        <v>557571.6</v>
      </c>
      <c r="W909" s="230">
        <v>74779.649999999994</v>
      </c>
      <c r="X909" s="229"/>
      <c r="Y909" s="229"/>
      <c r="Z909" s="229"/>
      <c r="AA909" s="229"/>
      <c r="AB909" s="230">
        <f>C909</f>
        <v>5617661.8799999999</v>
      </c>
      <c r="AC909" s="231"/>
      <c r="AD909" s="231">
        <v>2024</v>
      </c>
      <c r="AE909" s="231">
        <v>2024</v>
      </c>
      <c r="AF909" s="25"/>
      <c r="AG909" s="91"/>
    </row>
    <row r="910" spans="1:33" s="26" customFormat="1" ht="24" customHeight="1">
      <c r="A910" s="231">
        <f t="shared" si="406"/>
        <v>477</v>
      </c>
      <c r="B910" s="249" t="s">
        <v>656</v>
      </c>
      <c r="C910" s="291">
        <f t="shared" si="407"/>
        <v>6394429.75</v>
      </c>
      <c r="D910" s="228"/>
      <c r="E910" s="231"/>
      <c r="F910" s="228"/>
      <c r="G910" s="182"/>
      <c r="H910" s="234"/>
      <c r="I910" s="234"/>
      <c r="J910" s="229"/>
      <c r="K910" s="228"/>
      <c r="L910" s="182"/>
      <c r="M910" s="185"/>
      <c r="N910" s="846">
        <v>2</v>
      </c>
      <c r="O910" s="295">
        <v>6217772.4800000004</v>
      </c>
      <c r="P910" s="236"/>
      <c r="Q910" s="298"/>
      <c r="R910" s="229"/>
      <c r="S910" s="229"/>
      <c r="T910" s="229"/>
      <c r="U910" s="229"/>
      <c r="V910" s="268">
        <v>155509.62</v>
      </c>
      <c r="W910" s="230">
        <v>21147.65</v>
      </c>
      <c r="X910" s="229"/>
      <c r="Y910" s="230">
        <f t="shared" ref="Y910:Y912" si="410">C910*96%</f>
        <v>6138652.5599999996</v>
      </c>
      <c r="Z910" s="230">
        <f t="shared" ref="Z910:Z912" si="411">C910*4%</f>
        <v>255777.19</v>
      </c>
      <c r="AA910" s="229"/>
      <c r="AB910" s="230"/>
      <c r="AC910" s="231"/>
      <c r="AD910" s="231">
        <v>2024</v>
      </c>
      <c r="AE910" s="231">
        <v>2026</v>
      </c>
      <c r="AF910" s="25"/>
      <c r="AG910" s="262"/>
    </row>
    <row r="911" spans="1:33" s="26" customFormat="1" ht="24" customHeight="1">
      <c r="A911" s="231">
        <f t="shared" si="406"/>
        <v>478</v>
      </c>
      <c r="B911" s="249" t="s">
        <v>657</v>
      </c>
      <c r="C911" s="291">
        <f t="shared" si="407"/>
        <v>6394429.75</v>
      </c>
      <c r="D911" s="228"/>
      <c r="E911" s="231"/>
      <c r="F911" s="228"/>
      <c r="G911" s="182"/>
      <c r="H911" s="234"/>
      <c r="I911" s="234"/>
      <c r="J911" s="229"/>
      <c r="K911" s="228"/>
      <c r="L911" s="182"/>
      <c r="M911" s="185"/>
      <c r="N911" s="846">
        <v>2</v>
      </c>
      <c r="O911" s="295">
        <v>6217772.4800000004</v>
      </c>
      <c r="P911" s="236"/>
      <c r="Q911" s="298"/>
      <c r="R911" s="229"/>
      <c r="S911" s="229"/>
      <c r="T911" s="229"/>
      <c r="U911" s="229"/>
      <c r="V911" s="268">
        <v>155509.62</v>
      </c>
      <c r="W911" s="230">
        <v>21147.65</v>
      </c>
      <c r="X911" s="229"/>
      <c r="Y911" s="230">
        <f t="shared" si="410"/>
        <v>6138652.5599999996</v>
      </c>
      <c r="Z911" s="230">
        <f t="shared" si="411"/>
        <v>255777.19</v>
      </c>
      <c r="AA911" s="229"/>
      <c r="AB911" s="230"/>
      <c r="AC911" s="231"/>
      <c r="AD911" s="231">
        <v>2024</v>
      </c>
      <c r="AE911" s="231">
        <v>2026</v>
      </c>
      <c r="AF911" s="25"/>
      <c r="AG911" s="262"/>
    </row>
    <row r="912" spans="1:33" s="26" customFormat="1" ht="24" customHeight="1">
      <c r="A912" s="231">
        <f t="shared" si="406"/>
        <v>479</v>
      </c>
      <c r="B912" s="249" t="s">
        <v>658</v>
      </c>
      <c r="C912" s="291">
        <f t="shared" si="407"/>
        <v>22380504.129999999</v>
      </c>
      <c r="D912" s="228"/>
      <c r="E912" s="231"/>
      <c r="F912" s="228"/>
      <c r="G912" s="182"/>
      <c r="H912" s="234"/>
      <c r="I912" s="234"/>
      <c r="J912" s="229"/>
      <c r="K912" s="228"/>
      <c r="L912" s="182"/>
      <c r="M912" s="185"/>
      <c r="N912" s="846">
        <v>7</v>
      </c>
      <c r="O912" s="295">
        <v>21762203.670000002</v>
      </c>
      <c r="P912" s="236"/>
      <c r="Q912" s="298"/>
      <c r="R912" s="229"/>
      <c r="S912" s="229"/>
      <c r="T912" s="229"/>
      <c r="U912" s="229"/>
      <c r="V912" s="268">
        <v>544283.67000000004</v>
      </c>
      <c r="W912" s="230">
        <v>74016.789999999994</v>
      </c>
      <c r="X912" s="229"/>
      <c r="Y912" s="230">
        <f t="shared" si="410"/>
        <v>21485283.960000001</v>
      </c>
      <c r="Z912" s="230">
        <f t="shared" si="411"/>
        <v>895220.17</v>
      </c>
      <c r="AA912" s="229"/>
      <c r="AB912" s="230"/>
      <c r="AC912" s="231"/>
      <c r="AD912" s="231">
        <v>2024</v>
      </c>
      <c r="AE912" s="231">
        <v>2026</v>
      </c>
      <c r="AF912" s="25"/>
      <c r="AG912" s="262"/>
    </row>
    <row r="913" spans="1:33" s="26" customFormat="1" ht="24" customHeight="1">
      <c r="A913" s="231">
        <f t="shared" si="406"/>
        <v>480</v>
      </c>
      <c r="B913" s="435" t="s">
        <v>811</v>
      </c>
      <c r="C913" s="418">
        <f t="shared" si="407"/>
        <v>6393345.2599999998</v>
      </c>
      <c r="D913" s="428"/>
      <c r="E913" s="492"/>
      <c r="F913" s="428"/>
      <c r="G913" s="466"/>
      <c r="H913" s="429"/>
      <c r="I913" s="429"/>
      <c r="J913" s="420"/>
      <c r="K913" s="428"/>
      <c r="L913" s="466"/>
      <c r="M913" s="474"/>
      <c r="N913" s="848">
        <v>2</v>
      </c>
      <c r="O913" s="205">
        <v>6217772.4800000004</v>
      </c>
      <c r="P913" s="417"/>
      <c r="Q913" s="428"/>
      <c r="R913" s="420"/>
      <c r="S913" s="429"/>
      <c r="T913" s="429"/>
      <c r="U913" s="429"/>
      <c r="V913" s="431">
        <v>155509.62</v>
      </c>
      <c r="W913" s="495">
        <v>20063.16</v>
      </c>
      <c r="X913" s="420"/>
      <c r="Y913" s="425">
        <f>C913*69%</f>
        <v>4411408.2300000004</v>
      </c>
      <c r="Z913" s="425">
        <f>C913*31%</f>
        <v>1981937.03</v>
      </c>
      <c r="AA913" s="420"/>
      <c r="AB913" s="425"/>
      <c r="AC913" s="426"/>
      <c r="AD913" s="231">
        <v>2024</v>
      </c>
      <c r="AE913" s="231">
        <v>2026</v>
      </c>
      <c r="AF913" s="91"/>
      <c r="AG913" s="262"/>
    </row>
    <row r="914" spans="1:33" s="26" customFormat="1" ht="24" customHeight="1">
      <c r="A914" s="231">
        <f t="shared" si="406"/>
        <v>481</v>
      </c>
      <c r="B914" s="435" t="s">
        <v>812</v>
      </c>
      <c r="C914" s="418">
        <f t="shared" si="407"/>
        <v>12786690.560000001</v>
      </c>
      <c r="D914" s="428"/>
      <c r="E914" s="492"/>
      <c r="F914" s="428"/>
      <c r="G914" s="466"/>
      <c r="H914" s="429"/>
      <c r="I914" s="429"/>
      <c r="J914" s="420"/>
      <c r="K914" s="428"/>
      <c r="L914" s="466"/>
      <c r="M914" s="474"/>
      <c r="N914" s="848">
        <v>4</v>
      </c>
      <c r="O914" s="205">
        <v>12435544.960000001</v>
      </c>
      <c r="P914" s="417"/>
      <c r="Q914" s="428"/>
      <c r="R914" s="420"/>
      <c r="S914" s="429"/>
      <c r="T914" s="429"/>
      <c r="U914" s="429"/>
      <c r="V914" s="431">
        <v>311019.24</v>
      </c>
      <c r="W914" s="495">
        <v>40126.36</v>
      </c>
      <c r="X914" s="420"/>
      <c r="Y914" s="425">
        <f>C914*69%</f>
        <v>8822816.4900000002</v>
      </c>
      <c r="Z914" s="425">
        <f>C914*31%</f>
        <v>3963874.07</v>
      </c>
      <c r="AA914" s="420"/>
      <c r="AB914" s="425"/>
      <c r="AC914" s="426"/>
      <c r="AD914" s="231">
        <v>2024</v>
      </c>
      <c r="AE914" s="231">
        <v>2026</v>
      </c>
      <c r="AF914" s="91"/>
      <c r="AG914" s="262"/>
    </row>
    <row r="915" spans="1:33" s="26" customFormat="1" ht="24" customHeight="1">
      <c r="A915" s="231">
        <f t="shared" si="406"/>
        <v>482</v>
      </c>
      <c r="B915" s="435" t="s">
        <v>813</v>
      </c>
      <c r="C915" s="418">
        <f t="shared" si="407"/>
        <v>9590017.9000000004</v>
      </c>
      <c r="D915" s="428"/>
      <c r="E915" s="492"/>
      <c r="F915" s="428"/>
      <c r="G915" s="466"/>
      <c r="H915" s="429"/>
      <c r="I915" s="429"/>
      <c r="J915" s="420"/>
      <c r="K915" s="428"/>
      <c r="L915" s="466"/>
      <c r="M915" s="474"/>
      <c r="N915" s="848">
        <v>3</v>
      </c>
      <c r="O915" s="205">
        <v>9326658.7200000007</v>
      </c>
      <c r="P915" s="417"/>
      <c r="Q915" s="428"/>
      <c r="R915" s="420"/>
      <c r="S915" s="429"/>
      <c r="T915" s="429"/>
      <c r="U915" s="429"/>
      <c r="V915" s="431">
        <v>233264.43</v>
      </c>
      <c r="W915" s="495">
        <v>30094.75</v>
      </c>
      <c r="X915" s="420"/>
      <c r="Y915" s="425">
        <f>C915*69%</f>
        <v>6617112.3499999996</v>
      </c>
      <c r="Z915" s="425">
        <f>C915*31%</f>
        <v>2972905.55</v>
      </c>
      <c r="AA915" s="420"/>
      <c r="AB915" s="425"/>
      <c r="AC915" s="426"/>
      <c r="AD915" s="231">
        <v>2024</v>
      </c>
      <c r="AE915" s="231">
        <v>2026</v>
      </c>
      <c r="AF915" s="91"/>
      <c r="AG915" s="262"/>
    </row>
    <row r="916" spans="1:33" s="26" customFormat="1" ht="24" customHeight="1">
      <c r="A916" s="231">
        <f t="shared" si="406"/>
        <v>483</v>
      </c>
      <c r="B916" s="435" t="s">
        <v>814</v>
      </c>
      <c r="C916" s="418">
        <f t="shared" si="407"/>
        <v>9590017.9000000004</v>
      </c>
      <c r="D916" s="428"/>
      <c r="E916" s="492"/>
      <c r="F916" s="428"/>
      <c r="G916" s="466"/>
      <c r="H916" s="429"/>
      <c r="I916" s="429"/>
      <c r="J916" s="420"/>
      <c r="K916" s="428"/>
      <c r="L916" s="466"/>
      <c r="M916" s="474"/>
      <c r="N916" s="848">
        <v>3</v>
      </c>
      <c r="O916" s="206">
        <v>9326658.7200000007</v>
      </c>
      <c r="P916" s="417"/>
      <c r="Q916" s="428"/>
      <c r="R916" s="420"/>
      <c r="S916" s="429"/>
      <c r="T916" s="429"/>
      <c r="U916" s="429"/>
      <c r="V916" s="431">
        <v>233264.43</v>
      </c>
      <c r="W916" s="495">
        <v>30094.75</v>
      </c>
      <c r="X916" s="420"/>
      <c r="Y916" s="425">
        <f>C916*59%</f>
        <v>5658110.5599999996</v>
      </c>
      <c r="Z916" s="425">
        <f>C916*41%</f>
        <v>3931907.34</v>
      </c>
      <c r="AA916" s="420"/>
      <c r="AB916" s="425"/>
      <c r="AC916" s="426"/>
      <c r="AD916" s="231">
        <v>2024</v>
      </c>
      <c r="AE916" s="231">
        <v>2026</v>
      </c>
      <c r="AF916" s="91"/>
      <c r="AG916" s="262"/>
    </row>
    <row r="917" spans="1:33" s="26" customFormat="1" ht="24" customHeight="1">
      <c r="A917" s="231">
        <f t="shared" si="406"/>
        <v>484</v>
      </c>
      <c r="B917" s="435" t="s">
        <v>815</v>
      </c>
      <c r="C917" s="418">
        <f t="shared" si="407"/>
        <v>15963299.99</v>
      </c>
      <c r="D917" s="428"/>
      <c r="E917" s="492"/>
      <c r="F917" s="428"/>
      <c r="G917" s="466"/>
      <c r="H917" s="429"/>
      <c r="I917" s="429"/>
      <c r="J917" s="420"/>
      <c r="K917" s="503"/>
      <c r="L917" s="507"/>
      <c r="M917" s="501"/>
      <c r="N917" s="850">
        <v>5</v>
      </c>
      <c r="O917" s="315">
        <v>15544431.189999999</v>
      </c>
      <c r="P917" s="502"/>
      <c r="Q917" s="503"/>
      <c r="R917" s="420"/>
      <c r="S917" s="429"/>
      <c r="T917" s="429"/>
      <c r="U917" s="429"/>
      <c r="V917" s="431">
        <v>388774.05</v>
      </c>
      <c r="W917" s="495">
        <v>30094.75</v>
      </c>
      <c r="X917" s="420"/>
      <c r="Y917" s="425">
        <f>C917*59%</f>
        <v>9418346.9900000002</v>
      </c>
      <c r="Z917" s="425">
        <f>C917*41%</f>
        <v>6544953</v>
      </c>
      <c r="AA917" s="420"/>
      <c r="AB917" s="425"/>
      <c r="AC917" s="426"/>
      <c r="AD917" s="231">
        <v>2024</v>
      </c>
      <c r="AE917" s="231">
        <v>2026</v>
      </c>
      <c r="AF917" s="91"/>
      <c r="AG917" s="262"/>
    </row>
    <row r="918" spans="1:33" s="26" customFormat="1" ht="24" customHeight="1">
      <c r="A918" s="231">
        <f t="shared" si="406"/>
        <v>485</v>
      </c>
      <c r="B918" s="435" t="s">
        <v>237</v>
      </c>
      <c r="C918" s="418">
        <f>D918+F918+G918+H918+I918+K918+L918+M918+O918+P918+Q918+R918+S918+W918+V918+X918</f>
        <v>10065461.199999999</v>
      </c>
      <c r="D918" s="428">
        <f>ROUND(3167.6*589.88,2)</f>
        <v>1868503.89</v>
      </c>
      <c r="E918" s="492"/>
      <c r="F918" s="428"/>
      <c r="G918" s="466">
        <f>ROUND(3167.6*596.38,2)</f>
        <v>1889093.29</v>
      </c>
      <c r="H918" s="429">
        <f>3167.6*1074.75</f>
        <v>3404378.1</v>
      </c>
      <c r="I918" s="429"/>
      <c r="J918" s="420"/>
      <c r="K918" s="428"/>
      <c r="L918" s="466">
        <f>3167.6*690.32</f>
        <v>2186657.63</v>
      </c>
      <c r="M918" s="474"/>
      <c r="N918" s="849"/>
      <c r="O918" s="466"/>
      <c r="P918" s="417"/>
      <c r="Q918" s="430"/>
      <c r="R918" s="428"/>
      <c r="S918" s="428"/>
      <c r="T918" s="428"/>
      <c r="U918" s="428"/>
      <c r="V918" s="431">
        <v>576598.80000000005</v>
      </c>
      <c r="W918" s="425">
        <f>ROUND((D918+F918+G918+H918+I918+L918+K918+M918+O918+P918+Q918+R918+S918)*1.5%,2)</f>
        <v>140229.49</v>
      </c>
      <c r="X918" s="420"/>
      <c r="Y918" s="420"/>
      <c r="Z918" s="420"/>
      <c r="AA918" s="420"/>
      <c r="AB918" s="425">
        <f>C918</f>
        <v>10065461.199999999</v>
      </c>
      <c r="AC918" s="426"/>
      <c r="AD918" s="231">
        <v>2024</v>
      </c>
      <c r="AE918" s="231">
        <v>2024</v>
      </c>
      <c r="AF918" s="25"/>
      <c r="AG918" s="91"/>
    </row>
    <row r="919" spans="1:33" s="26" customFormat="1" ht="24" customHeight="1">
      <c r="A919" s="231">
        <f t="shared" si="406"/>
        <v>486</v>
      </c>
      <c r="B919" s="435" t="s">
        <v>238</v>
      </c>
      <c r="C919" s="418">
        <f>D919+F919+G919+H919+I919+K919+L919+M919+O919+P919+Q919+R919+S919+W919+V919+X919</f>
        <v>13866657.59</v>
      </c>
      <c r="D919" s="428">
        <f>ROUND(3443.6*589.88,2)</f>
        <v>2031310.77</v>
      </c>
      <c r="E919" s="426"/>
      <c r="F919" s="428"/>
      <c r="G919" s="466">
        <f>ROUND(3443.6*596.38,2)</f>
        <v>2053694.17</v>
      </c>
      <c r="H919" s="429">
        <f>3443.6*1074.75</f>
        <v>3701009.1</v>
      </c>
      <c r="I919" s="429">
        <f>3443.6*871.5</f>
        <v>3001097.4</v>
      </c>
      <c r="J919" s="466"/>
      <c r="K919" s="466"/>
      <c r="L919" s="466">
        <f>3443.6*616.25</f>
        <v>2122118.5</v>
      </c>
      <c r="M919" s="474"/>
      <c r="N919" s="849"/>
      <c r="O919" s="466"/>
      <c r="P919" s="428"/>
      <c r="Q919" s="428"/>
      <c r="R919" s="428"/>
      <c r="S919" s="428"/>
      <c r="T919" s="428"/>
      <c r="U919" s="428"/>
      <c r="V919" s="431">
        <v>763789.2</v>
      </c>
      <c r="W919" s="425">
        <f>ROUND((D919+F919+G919+H919+I919+L919+K919+M919+O919+P919+Q919+R919+S919)*1.5%,2)</f>
        <v>193638.45</v>
      </c>
      <c r="X919" s="420"/>
      <c r="Y919" s="420"/>
      <c r="Z919" s="420"/>
      <c r="AA919" s="420"/>
      <c r="AB919" s="425">
        <f>C919</f>
        <v>13866657.59</v>
      </c>
      <c r="AC919" s="426"/>
      <c r="AD919" s="231">
        <v>2024</v>
      </c>
      <c r="AE919" s="231">
        <v>2024</v>
      </c>
      <c r="AF919" s="25"/>
      <c r="AG919" s="91"/>
    </row>
    <row r="920" spans="1:33" s="26" customFormat="1" ht="24" customHeight="1">
      <c r="A920" s="231">
        <f t="shared" si="406"/>
        <v>487</v>
      </c>
      <c r="B920" s="435" t="s">
        <v>321</v>
      </c>
      <c r="C920" s="493">
        <f>D920+F920+G920+H920+I920+K920+L920+M920+O920+P920+Q920+R920+S920+W920+V920+X920</f>
        <v>33574463.609999999</v>
      </c>
      <c r="D920" s="428">
        <v>4144460.94</v>
      </c>
      <c r="E920" s="492"/>
      <c r="F920" s="428"/>
      <c r="G920" s="466">
        <v>2849979.75</v>
      </c>
      <c r="H920" s="429">
        <v>4090422.51</v>
      </c>
      <c r="I920" s="429">
        <v>15658222.560000001</v>
      </c>
      <c r="J920" s="420"/>
      <c r="K920" s="428"/>
      <c r="L920" s="466">
        <v>4782232.18</v>
      </c>
      <c r="M920" s="474"/>
      <c r="N920" s="849"/>
      <c r="O920" s="474"/>
      <c r="P920" s="466"/>
      <c r="Q920" s="466"/>
      <c r="R920" s="438"/>
      <c r="S920" s="428"/>
      <c r="T920" s="428"/>
      <c r="U920" s="428"/>
      <c r="V920" s="494">
        <v>1576265.9</v>
      </c>
      <c r="W920" s="495">
        <v>472879.77</v>
      </c>
      <c r="X920" s="420"/>
      <c r="Y920" s="420"/>
      <c r="Z920" s="420"/>
      <c r="AA920" s="420"/>
      <c r="AB920" s="425">
        <f>C920</f>
        <v>33574463.609999999</v>
      </c>
      <c r="AC920" s="426"/>
      <c r="AD920" s="231">
        <v>2024</v>
      </c>
      <c r="AE920" s="231">
        <v>2025</v>
      </c>
      <c r="AF920" s="25"/>
      <c r="AG920" s="91"/>
    </row>
    <row r="921" spans="1:33" s="26" customFormat="1" ht="24" customHeight="1">
      <c r="A921" s="231">
        <f t="shared" si="406"/>
        <v>488</v>
      </c>
      <c r="B921" s="445" t="s">
        <v>322</v>
      </c>
      <c r="C921" s="493">
        <f>D921+F921+G921+H921+I921+K921+L921+M921+O921+P921+Q921+R921+S921+W921+V921+X921</f>
        <v>55402387.729999997</v>
      </c>
      <c r="D921" s="428">
        <v>4417731.84</v>
      </c>
      <c r="E921" s="492"/>
      <c r="F921" s="428"/>
      <c r="G921" s="466">
        <v>3037897.2</v>
      </c>
      <c r="H921" s="429">
        <v>4360130.3099999996</v>
      </c>
      <c r="I921" s="429">
        <v>16690669.630000001</v>
      </c>
      <c r="J921" s="420"/>
      <c r="K921" s="428"/>
      <c r="L921" s="466">
        <v>5097555.43</v>
      </c>
      <c r="M921" s="474"/>
      <c r="N921" s="486"/>
      <c r="O921" s="474"/>
      <c r="P921" s="466"/>
      <c r="Q921" s="466"/>
      <c r="R921" s="428">
        <v>18208451.850000001</v>
      </c>
      <c r="S921" s="428"/>
      <c r="T921" s="428"/>
      <c r="U921" s="428"/>
      <c r="V921" s="494">
        <f>1680199.22+1274591.63</f>
        <v>2954790.85</v>
      </c>
      <c r="W921" s="495">
        <f>504059.77+131100.85</f>
        <v>635160.62</v>
      </c>
      <c r="X921" s="420"/>
      <c r="Y921" s="425">
        <f>19614144.33*59%</f>
        <v>11572345.15</v>
      </c>
      <c r="Z921" s="425">
        <f>19614144.33*41%</f>
        <v>8041799.1799999997</v>
      </c>
      <c r="AA921" s="420"/>
      <c r="AB921" s="425">
        <f>C921-Y921-Z921</f>
        <v>35788243.399999999</v>
      </c>
      <c r="AC921" s="426"/>
      <c r="AD921" s="231">
        <v>2024</v>
      </c>
      <c r="AE921" s="231">
        <v>2026</v>
      </c>
      <c r="AF921" s="25"/>
      <c r="AG921" s="262"/>
    </row>
    <row r="922" spans="1:33" s="26" customFormat="1" ht="24" customHeight="1">
      <c r="A922" s="231">
        <f t="shared" si="406"/>
        <v>489</v>
      </c>
      <c r="B922" s="435" t="s">
        <v>579</v>
      </c>
      <c r="C922" s="493">
        <f>D922+F922+G922+H922+I922+K922+L922+M922+O922+P922+Q922+R922+S922+W922+V922+X922</f>
        <v>4461076.05</v>
      </c>
      <c r="D922" s="428"/>
      <c r="E922" s="492"/>
      <c r="F922" s="428"/>
      <c r="G922" s="466"/>
      <c r="H922" s="429"/>
      <c r="I922" s="429"/>
      <c r="J922" s="420"/>
      <c r="K922" s="428"/>
      <c r="L922" s="466"/>
      <c r="M922" s="474"/>
      <c r="N922" s="486"/>
      <c r="O922" s="474"/>
      <c r="P922" s="466"/>
      <c r="Q922" s="466"/>
      <c r="R922" s="438"/>
      <c r="S922" s="428">
        <v>4188803.8</v>
      </c>
      <c r="T922" s="428"/>
      <c r="U922" s="428"/>
      <c r="V922" s="494">
        <v>209440.19</v>
      </c>
      <c r="W922" s="495">
        <v>62832.06</v>
      </c>
      <c r="X922" s="420"/>
      <c r="Y922" s="420"/>
      <c r="Z922" s="420"/>
      <c r="AA922" s="420"/>
      <c r="AB922" s="425">
        <f>C922</f>
        <v>4461076.05</v>
      </c>
      <c r="AC922" s="426"/>
      <c r="AD922" s="231">
        <v>2024</v>
      </c>
      <c r="AE922" s="231">
        <v>2025</v>
      </c>
      <c r="AF922" s="25"/>
      <c r="AG922" s="91"/>
    </row>
    <row r="923" spans="1:33" s="26" customFormat="1" ht="24" customHeight="1">
      <c r="A923" s="231">
        <f t="shared" si="406"/>
        <v>490</v>
      </c>
      <c r="B923" s="435" t="s">
        <v>159</v>
      </c>
      <c r="C923" s="418">
        <f t="shared" ref="C923:C927" si="412">D923+F923+G923+H923+I923+K923+L923+M923+O923+P923+Q923+R923+S923+W923+V923+X923</f>
        <v>40657952.270000003</v>
      </c>
      <c r="D923" s="428">
        <f>4215.2*660.21</f>
        <v>2782917.19</v>
      </c>
      <c r="E923" s="492"/>
      <c r="F923" s="428"/>
      <c r="G923" s="466">
        <f>4215.2*620.83</f>
        <v>2616922.62</v>
      </c>
      <c r="H923" s="429">
        <f>4215.2*665.62</f>
        <v>2805721.42</v>
      </c>
      <c r="I923" s="429">
        <f>4215.2*3201.73</f>
        <v>13495932.300000001</v>
      </c>
      <c r="J923" s="420"/>
      <c r="K923" s="428"/>
      <c r="L923" s="466">
        <f>4215.2*616.25</f>
        <v>2597617</v>
      </c>
      <c r="M923" s="474"/>
      <c r="N923" s="486"/>
      <c r="O923" s="466"/>
      <c r="P923" s="466"/>
      <c r="Q923" s="466"/>
      <c r="R923" s="438">
        <v>14615686.98</v>
      </c>
      <c r="S923" s="428"/>
      <c r="T923" s="428"/>
      <c r="U923" s="428"/>
      <c r="V923" s="431">
        <v>1159432.8</v>
      </c>
      <c r="W923" s="425">
        <f>ROUND((D923+F923+G923+H923+I923+L923+K923+M923+O923+P923+Q923+R923+S923)*1.5%,2)</f>
        <v>583721.96</v>
      </c>
      <c r="X923" s="420"/>
      <c r="Y923" s="420"/>
      <c r="Z923" s="420"/>
      <c r="AA923" s="420"/>
      <c r="AB923" s="425">
        <f t="shared" ref="AB923" si="413">C923</f>
        <v>40657952.270000003</v>
      </c>
      <c r="AC923" s="426"/>
      <c r="AD923" s="231">
        <v>2022</v>
      </c>
      <c r="AE923" s="231">
        <v>2024</v>
      </c>
      <c r="AF923" s="25"/>
      <c r="AG923" s="91"/>
    </row>
    <row r="924" spans="1:33" s="26" customFormat="1" ht="24" customHeight="1">
      <c r="A924" s="231">
        <f t="shared" si="406"/>
        <v>491</v>
      </c>
      <c r="B924" s="435" t="s">
        <v>239</v>
      </c>
      <c r="C924" s="418">
        <f t="shared" si="412"/>
        <v>70562420.180000007</v>
      </c>
      <c r="D924" s="428">
        <f>4096.6*660.21</f>
        <v>2704616.29</v>
      </c>
      <c r="E924" s="426"/>
      <c r="F924" s="428"/>
      <c r="G924" s="466">
        <f>4096.6*620.83</f>
        <v>2543292.1800000002</v>
      </c>
      <c r="H924" s="429">
        <f>4096.6*665.62</f>
        <v>2726778.89</v>
      </c>
      <c r="I924" s="429">
        <f>4096.6*3201.73</f>
        <v>13116207.119999999</v>
      </c>
      <c r="J924" s="420"/>
      <c r="K924" s="428"/>
      <c r="L924" s="466">
        <f>4096.6*616.25</f>
        <v>2524529.75</v>
      </c>
      <c r="M924" s="474"/>
      <c r="N924" s="486"/>
      <c r="O924" s="466"/>
      <c r="P924" s="417">
        <v>17902509.670000002</v>
      </c>
      <c r="Q924" s="428"/>
      <c r="R924" s="425">
        <v>23966345.120000001</v>
      </c>
      <c r="S924" s="428"/>
      <c r="T924" s="428"/>
      <c r="U924" s="428"/>
      <c r="V924" s="431">
        <f>1161901.2+2930819.83</f>
        <v>4092721.03</v>
      </c>
      <c r="W924" s="425">
        <f>354231.36+631188.77</f>
        <v>985420.13</v>
      </c>
      <c r="X924" s="420"/>
      <c r="Y924" s="425">
        <f>45430863.39*59%</f>
        <v>26804209.399999999</v>
      </c>
      <c r="Z924" s="425">
        <f>45430863.39*41%</f>
        <v>18626653.989999998</v>
      </c>
      <c r="AA924" s="420"/>
      <c r="AB924" s="425">
        <f>C924-Y924-Z924</f>
        <v>25131556.789999999</v>
      </c>
      <c r="AC924" s="426"/>
      <c r="AD924" s="231">
        <v>2024</v>
      </c>
      <c r="AE924" s="231">
        <v>2026</v>
      </c>
      <c r="AF924" s="91"/>
      <c r="AG924" s="262"/>
    </row>
    <row r="925" spans="1:33" s="26" customFormat="1" ht="24" customHeight="1">
      <c r="A925" s="231">
        <f t="shared" si="406"/>
        <v>492</v>
      </c>
      <c r="B925" s="435" t="s">
        <v>240</v>
      </c>
      <c r="C925" s="418">
        <f t="shared" si="412"/>
        <v>47580344.390000001</v>
      </c>
      <c r="D925" s="428">
        <f>3007.7*589.88</f>
        <v>1774182.08</v>
      </c>
      <c r="E925" s="492"/>
      <c r="F925" s="428"/>
      <c r="G925" s="466">
        <f>3007.7*596.38</f>
        <v>1793732.13</v>
      </c>
      <c r="H925" s="429">
        <f>3007.7*1074.75</f>
        <v>3232525.58</v>
      </c>
      <c r="I925" s="429">
        <f>3007.7*871.5</f>
        <v>2621210.5499999998</v>
      </c>
      <c r="J925" s="420"/>
      <c r="K925" s="428"/>
      <c r="L925" s="466">
        <f>3007.7*616.25</f>
        <v>1853495.13</v>
      </c>
      <c r="M925" s="474"/>
      <c r="N925" s="486"/>
      <c r="O925" s="466"/>
      <c r="P925" s="417">
        <v>20485635.829999998</v>
      </c>
      <c r="Q925" s="428"/>
      <c r="R925" s="425">
        <v>12146794.050000001</v>
      </c>
      <c r="S925" s="428"/>
      <c r="T925" s="428"/>
      <c r="U925" s="428"/>
      <c r="V925" s="431">
        <f>727425.6+2284270.1</f>
        <v>3011695.7</v>
      </c>
      <c r="W925" s="425">
        <f>169127.16+491946.18</f>
        <v>661073.34</v>
      </c>
      <c r="X925" s="420"/>
      <c r="Y925" s="425">
        <f>35408646.16*59%</f>
        <v>20891101.23</v>
      </c>
      <c r="Z925" s="425">
        <f>35408646.16*41%</f>
        <v>14517544.93</v>
      </c>
      <c r="AA925" s="420"/>
      <c r="AB925" s="425">
        <f>C925-Y925-Z925</f>
        <v>12171698.23</v>
      </c>
      <c r="AC925" s="426"/>
      <c r="AD925" s="231">
        <v>2024</v>
      </c>
      <c r="AE925" s="231">
        <v>2026</v>
      </c>
      <c r="AF925" s="91"/>
      <c r="AG925" s="262"/>
    </row>
    <row r="926" spans="1:33" s="26" customFormat="1" ht="24" customHeight="1">
      <c r="A926" s="231">
        <f t="shared" si="406"/>
        <v>493</v>
      </c>
      <c r="B926" s="445" t="s">
        <v>160</v>
      </c>
      <c r="C926" s="418">
        <f t="shared" si="412"/>
        <v>24712141.850000001</v>
      </c>
      <c r="D926" s="428"/>
      <c r="E926" s="492"/>
      <c r="F926" s="428"/>
      <c r="G926" s="466"/>
      <c r="H926" s="429"/>
      <c r="I926" s="429"/>
      <c r="J926" s="420"/>
      <c r="K926" s="428"/>
      <c r="L926" s="428"/>
      <c r="M926" s="420"/>
      <c r="N926" s="505"/>
      <c r="O926" s="506"/>
      <c r="P926" s="417">
        <v>7192390.3600000003</v>
      </c>
      <c r="Q926" s="428"/>
      <c r="R926" s="425">
        <v>15832059.32</v>
      </c>
      <c r="S926" s="429"/>
      <c r="T926" s="429"/>
      <c r="U926" s="429"/>
      <c r="V926" s="431">
        <v>1611711.48</v>
      </c>
      <c r="W926" s="495">
        <v>75980.69</v>
      </c>
      <c r="X926" s="420"/>
      <c r="Y926" s="425">
        <f>C926*69%</f>
        <v>17051377.879999999</v>
      </c>
      <c r="Z926" s="425">
        <f>C926*31%</f>
        <v>7660763.9699999997</v>
      </c>
      <c r="AA926" s="420"/>
      <c r="AB926" s="425"/>
      <c r="AC926" s="426"/>
      <c r="AD926" s="231">
        <v>2024</v>
      </c>
      <c r="AE926" s="231">
        <v>2026</v>
      </c>
      <c r="AF926" s="91"/>
      <c r="AG926" s="262"/>
    </row>
    <row r="927" spans="1:33" s="26" customFormat="1" ht="24" customHeight="1">
      <c r="A927" s="231">
        <f t="shared" si="406"/>
        <v>494</v>
      </c>
      <c r="B927" s="445" t="s">
        <v>846</v>
      </c>
      <c r="C927" s="418">
        <f t="shared" si="412"/>
        <v>64697337.799999997</v>
      </c>
      <c r="D927" s="428"/>
      <c r="E927" s="492"/>
      <c r="F927" s="428"/>
      <c r="G927" s="466"/>
      <c r="H927" s="429"/>
      <c r="I927" s="429"/>
      <c r="J927" s="420"/>
      <c r="K927" s="428"/>
      <c r="L927" s="428"/>
      <c r="M927" s="420"/>
      <c r="N927" s="505"/>
      <c r="O927" s="506"/>
      <c r="P927" s="417">
        <v>25494666.600000001</v>
      </c>
      <c r="Q927" s="428"/>
      <c r="R927" s="425">
        <v>34130073.920000002</v>
      </c>
      <c r="S927" s="429"/>
      <c r="T927" s="429"/>
      <c r="U927" s="429"/>
      <c r="V927" s="431">
        <v>4173731.8399999999</v>
      </c>
      <c r="W927" s="495">
        <v>898865.44</v>
      </c>
      <c r="X927" s="420"/>
      <c r="Y927" s="425">
        <f>C927*59%</f>
        <v>38171429.299999997</v>
      </c>
      <c r="Z927" s="425">
        <f>C927*41%</f>
        <v>26525908.5</v>
      </c>
      <c r="AA927" s="420"/>
      <c r="AB927" s="425"/>
      <c r="AC927" s="426"/>
      <c r="AD927" s="231">
        <v>2024</v>
      </c>
      <c r="AE927" s="231">
        <v>2026</v>
      </c>
      <c r="AF927" s="25"/>
      <c r="AG927" s="262"/>
    </row>
    <row r="928" spans="1:33" s="26" customFormat="1" ht="24" customHeight="1">
      <c r="A928" s="231">
        <f t="shared" si="406"/>
        <v>495</v>
      </c>
      <c r="B928" s="249" t="s">
        <v>659</v>
      </c>
      <c r="C928" s="232">
        <f>D928+F928+G928+H928+I928+K928+L928+M928+O928+P928+Q928+R928+S928+W928+V928+X928</f>
        <v>12783134.34</v>
      </c>
      <c r="D928" s="228"/>
      <c r="E928" s="265"/>
      <c r="F928" s="228"/>
      <c r="G928" s="182"/>
      <c r="H928" s="234"/>
      <c r="I928" s="234"/>
      <c r="J928" s="229"/>
      <c r="K928" s="228"/>
      <c r="L928" s="182"/>
      <c r="M928" s="185"/>
      <c r="N928" s="195"/>
      <c r="O928" s="182"/>
      <c r="P928" s="182">
        <v>8421495.9700000007</v>
      </c>
      <c r="Q928" s="182"/>
      <c r="R928" s="228">
        <v>3524534.38</v>
      </c>
      <c r="S928" s="228"/>
      <c r="T928" s="228"/>
      <c r="U928" s="228"/>
      <c r="V928" s="268">
        <v>836222.11</v>
      </c>
      <c r="W928" s="230">
        <v>881.88</v>
      </c>
      <c r="X928" s="229"/>
      <c r="Y928" s="230">
        <f t="shared" ref="Y928:Y941" si="414">C928*96%</f>
        <v>12271808.970000001</v>
      </c>
      <c r="Z928" s="230">
        <f t="shared" ref="Z928:Z941" si="415">C928*4%</f>
        <v>511325.37</v>
      </c>
      <c r="AA928" s="229"/>
      <c r="AB928" s="230"/>
      <c r="AC928" s="231"/>
      <c r="AD928" s="231">
        <v>2024</v>
      </c>
      <c r="AE928" s="231">
        <v>2024</v>
      </c>
      <c r="AF928" s="25"/>
      <c r="AG928" s="262"/>
    </row>
    <row r="929" spans="1:34" s="26" customFormat="1" ht="24" customHeight="1">
      <c r="A929" s="231">
        <f t="shared" si="406"/>
        <v>496</v>
      </c>
      <c r="B929" s="249" t="s">
        <v>660</v>
      </c>
      <c r="C929" s="232">
        <f t="shared" ref="C929:C946" si="416">D929+F929+G929+H929+I929+K929+L929+M929+O929+P929+Q929+R929+S929+W929+V929+X929</f>
        <v>13055885.76</v>
      </c>
      <c r="D929" s="228"/>
      <c r="E929" s="265"/>
      <c r="F929" s="228"/>
      <c r="G929" s="182"/>
      <c r="H929" s="234"/>
      <c r="I929" s="234"/>
      <c r="J929" s="229"/>
      <c r="K929" s="228"/>
      <c r="L929" s="182"/>
      <c r="M929" s="185"/>
      <c r="N929" s="195"/>
      <c r="O929" s="182"/>
      <c r="P929" s="182">
        <v>8601183.8900000006</v>
      </c>
      <c r="Q929" s="182"/>
      <c r="R929" s="228">
        <v>3599736.73</v>
      </c>
      <c r="S929" s="228"/>
      <c r="T929" s="228"/>
      <c r="U929" s="228"/>
      <c r="V929" s="268">
        <v>854064.44</v>
      </c>
      <c r="W929" s="230">
        <v>900.7</v>
      </c>
      <c r="X929" s="229"/>
      <c r="Y929" s="230">
        <f t="shared" si="414"/>
        <v>12533650.33</v>
      </c>
      <c r="Z929" s="230">
        <f t="shared" si="415"/>
        <v>522235.43</v>
      </c>
      <c r="AA929" s="229"/>
      <c r="AB929" s="230"/>
      <c r="AC929" s="231"/>
      <c r="AD929" s="231">
        <v>2024</v>
      </c>
      <c r="AE929" s="231">
        <v>2026</v>
      </c>
      <c r="AF929" s="25"/>
      <c r="AG929" s="262"/>
    </row>
    <row r="930" spans="1:34" s="26" customFormat="1" ht="24" customHeight="1">
      <c r="A930" s="231">
        <f t="shared" si="406"/>
        <v>497</v>
      </c>
      <c r="B930" s="249" t="s">
        <v>661</v>
      </c>
      <c r="C930" s="232">
        <f t="shared" si="416"/>
        <v>13331420.34</v>
      </c>
      <c r="D930" s="228"/>
      <c r="E930" s="265"/>
      <c r="F930" s="228"/>
      <c r="G930" s="182"/>
      <c r="H930" s="234"/>
      <c r="I930" s="234"/>
      <c r="J930" s="229"/>
      <c r="K930" s="228"/>
      <c r="L930" s="182"/>
      <c r="M930" s="185"/>
      <c r="N930" s="195"/>
      <c r="O930" s="182"/>
      <c r="P930" s="182">
        <v>8782705.3599999994</v>
      </c>
      <c r="Q930" s="182"/>
      <c r="R930" s="228">
        <v>3675706.44</v>
      </c>
      <c r="S930" s="228"/>
      <c r="T930" s="228"/>
      <c r="U930" s="228"/>
      <c r="V930" s="268">
        <v>872088.83</v>
      </c>
      <c r="W930" s="230">
        <v>919.71</v>
      </c>
      <c r="X930" s="229"/>
      <c r="Y930" s="230">
        <f t="shared" si="414"/>
        <v>12798163.529999999</v>
      </c>
      <c r="Z930" s="230">
        <f t="shared" si="415"/>
        <v>533256.81000000006</v>
      </c>
      <c r="AA930" s="229"/>
      <c r="AB930" s="230"/>
      <c r="AC930" s="231"/>
      <c r="AD930" s="231">
        <v>2024</v>
      </c>
      <c r="AE930" s="231">
        <v>2026</v>
      </c>
      <c r="AF930" s="25"/>
      <c r="AG930" s="262"/>
    </row>
    <row r="931" spans="1:34" s="26" customFormat="1" ht="24" customHeight="1">
      <c r="A931" s="231">
        <f t="shared" si="406"/>
        <v>498</v>
      </c>
      <c r="B931" s="249" t="s">
        <v>662</v>
      </c>
      <c r="C931" s="232">
        <f t="shared" si="416"/>
        <v>10646469.91</v>
      </c>
      <c r="D931" s="228"/>
      <c r="E931" s="265"/>
      <c r="F931" s="228"/>
      <c r="G931" s="182"/>
      <c r="H931" s="234"/>
      <c r="I931" s="234"/>
      <c r="J931" s="229"/>
      <c r="K931" s="228"/>
      <c r="L931" s="182"/>
      <c r="M931" s="185"/>
      <c r="N931" s="195"/>
      <c r="O931" s="182"/>
      <c r="P931" s="182">
        <v>7152274.6600000001</v>
      </c>
      <c r="Q931" s="182"/>
      <c r="R931" s="228">
        <v>2797010.8</v>
      </c>
      <c r="S931" s="228"/>
      <c r="T931" s="228"/>
      <c r="U931" s="228"/>
      <c r="V931" s="268">
        <v>696449.98</v>
      </c>
      <c r="W931" s="230">
        <v>734.47</v>
      </c>
      <c r="X931" s="229"/>
      <c r="Y931" s="230">
        <f t="shared" si="414"/>
        <v>10220611.109999999</v>
      </c>
      <c r="Z931" s="230">
        <f t="shared" si="415"/>
        <v>425858.8</v>
      </c>
      <c r="AA931" s="229"/>
      <c r="AB931" s="230"/>
      <c r="AC931" s="231"/>
      <c r="AD931" s="231">
        <v>2024</v>
      </c>
      <c r="AE931" s="231">
        <v>2026</v>
      </c>
      <c r="AF931" s="25"/>
      <c r="AG931" s="262"/>
    </row>
    <row r="932" spans="1:34" s="26" customFormat="1" ht="24" customHeight="1">
      <c r="A932" s="231">
        <f t="shared" si="406"/>
        <v>499</v>
      </c>
      <c r="B932" s="249" t="s">
        <v>663</v>
      </c>
      <c r="C932" s="232">
        <f t="shared" si="416"/>
        <v>13684883.890000001</v>
      </c>
      <c r="D932" s="228"/>
      <c r="E932" s="265"/>
      <c r="F932" s="228"/>
      <c r="G932" s="182"/>
      <c r="H932" s="234"/>
      <c r="I932" s="234"/>
      <c r="J932" s="229"/>
      <c r="K932" s="228"/>
      <c r="L932" s="182"/>
      <c r="M932" s="185"/>
      <c r="N932" s="195"/>
      <c r="O932" s="182"/>
      <c r="P932" s="182">
        <v>9015566.2400000002</v>
      </c>
      <c r="Q932" s="182"/>
      <c r="R932" s="228">
        <v>3773162.54</v>
      </c>
      <c r="S932" s="228"/>
      <c r="T932" s="228"/>
      <c r="U932" s="228"/>
      <c r="V932" s="268">
        <v>895211.02</v>
      </c>
      <c r="W932" s="230">
        <v>944.09</v>
      </c>
      <c r="X932" s="229"/>
      <c r="Y932" s="230">
        <f t="shared" si="414"/>
        <v>13137488.529999999</v>
      </c>
      <c r="Z932" s="230">
        <f t="shared" si="415"/>
        <v>547395.36</v>
      </c>
      <c r="AA932" s="229"/>
      <c r="AB932" s="230"/>
      <c r="AC932" s="231"/>
      <c r="AD932" s="231">
        <v>2024</v>
      </c>
      <c r="AE932" s="231">
        <v>2026</v>
      </c>
      <c r="AF932" s="25"/>
      <c r="AG932" s="262"/>
    </row>
    <row r="933" spans="1:34" s="26" customFormat="1" ht="24" customHeight="1">
      <c r="A933" s="231">
        <f t="shared" si="406"/>
        <v>500</v>
      </c>
      <c r="B933" s="249" t="s">
        <v>664</v>
      </c>
      <c r="C933" s="232">
        <f t="shared" si="416"/>
        <v>13470579.210000001</v>
      </c>
      <c r="D933" s="228"/>
      <c r="E933" s="265"/>
      <c r="F933" s="228"/>
      <c r="G933" s="182"/>
      <c r="H933" s="234"/>
      <c r="I933" s="234"/>
      <c r="J933" s="229"/>
      <c r="K933" s="228"/>
      <c r="L933" s="182"/>
      <c r="M933" s="185"/>
      <c r="N933" s="195"/>
      <c r="O933" s="182"/>
      <c r="P933" s="182">
        <v>8874382.8699999992</v>
      </c>
      <c r="Q933" s="182"/>
      <c r="R933" s="228">
        <v>3714074.99</v>
      </c>
      <c r="S933" s="228"/>
      <c r="T933" s="228"/>
      <c r="U933" s="228"/>
      <c r="V933" s="268">
        <v>881192.05</v>
      </c>
      <c r="W933" s="268">
        <v>929.3</v>
      </c>
      <c r="X933" s="229"/>
      <c r="Y933" s="230">
        <f t="shared" si="414"/>
        <v>12931756.039999999</v>
      </c>
      <c r="Z933" s="230">
        <f t="shared" si="415"/>
        <v>538823.17000000004</v>
      </c>
      <c r="AA933" s="229"/>
      <c r="AB933" s="230"/>
      <c r="AC933" s="231"/>
      <c r="AD933" s="231">
        <v>2024</v>
      </c>
      <c r="AE933" s="231">
        <v>2026</v>
      </c>
      <c r="AF933" s="25"/>
      <c r="AG933" s="262"/>
    </row>
    <row r="934" spans="1:34" s="26" customFormat="1" ht="24" customHeight="1">
      <c r="A934" s="231">
        <f t="shared" si="406"/>
        <v>501</v>
      </c>
      <c r="B934" s="249" t="s">
        <v>665</v>
      </c>
      <c r="C934" s="232">
        <f t="shared" si="416"/>
        <v>12426887.640000001</v>
      </c>
      <c r="D934" s="228"/>
      <c r="E934" s="265"/>
      <c r="F934" s="228"/>
      <c r="G934" s="182"/>
      <c r="H934" s="234"/>
      <c r="I934" s="234"/>
      <c r="J934" s="229"/>
      <c r="K934" s="228"/>
      <c r="L934" s="182"/>
      <c r="M934" s="185"/>
      <c r="N934" s="195"/>
      <c r="O934" s="182"/>
      <c r="P934" s="182">
        <v>8186801.5499999998</v>
      </c>
      <c r="Q934" s="182"/>
      <c r="R934" s="228">
        <v>3426310.92</v>
      </c>
      <c r="S934" s="228"/>
      <c r="T934" s="228"/>
      <c r="U934" s="228"/>
      <c r="V934" s="268">
        <v>812917.87</v>
      </c>
      <c r="W934" s="230">
        <v>857.3</v>
      </c>
      <c r="X934" s="229"/>
      <c r="Y934" s="230">
        <f t="shared" si="414"/>
        <v>11929812.130000001</v>
      </c>
      <c r="Z934" s="230">
        <f t="shared" si="415"/>
        <v>497075.51</v>
      </c>
      <c r="AA934" s="229"/>
      <c r="AB934" s="230"/>
      <c r="AC934" s="231"/>
      <c r="AD934" s="231">
        <v>2024</v>
      </c>
      <c r="AE934" s="231">
        <v>2026</v>
      </c>
      <c r="AF934" s="25"/>
      <c r="AG934" s="262"/>
    </row>
    <row r="935" spans="1:34" s="26" customFormat="1" ht="24" customHeight="1">
      <c r="A935" s="231">
        <f t="shared" si="406"/>
        <v>502</v>
      </c>
      <c r="B935" s="249" t="s">
        <v>666</v>
      </c>
      <c r="C935" s="232">
        <f t="shared" si="416"/>
        <v>13323070.810000001</v>
      </c>
      <c r="D935" s="228"/>
      <c r="E935" s="265"/>
      <c r="F935" s="228"/>
      <c r="G935" s="182"/>
      <c r="H935" s="234"/>
      <c r="I935" s="234"/>
      <c r="J935" s="229"/>
      <c r="K935" s="228"/>
      <c r="L935" s="182"/>
      <c r="M935" s="185"/>
      <c r="N935" s="195"/>
      <c r="O935" s="182"/>
      <c r="P935" s="182">
        <v>8777204.7100000009</v>
      </c>
      <c r="Q935" s="182"/>
      <c r="R935" s="228">
        <v>3673404.33</v>
      </c>
      <c r="S935" s="228"/>
      <c r="T935" s="228"/>
      <c r="U935" s="228"/>
      <c r="V935" s="268">
        <v>871542.64</v>
      </c>
      <c r="W935" s="230">
        <v>919.13</v>
      </c>
      <c r="X935" s="229"/>
      <c r="Y935" s="230">
        <f t="shared" si="414"/>
        <v>12790147.98</v>
      </c>
      <c r="Z935" s="230">
        <f>C935*4%</f>
        <v>532922.82999999996</v>
      </c>
      <c r="AA935" s="229"/>
      <c r="AB935" s="230"/>
      <c r="AC935" s="231"/>
      <c r="AD935" s="231">
        <v>2024</v>
      </c>
      <c r="AE935" s="231">
        <v>2026</v>
      </c>
      <c r="AF935" s="25"/>
      <c r="AG935" s="262"/>
    </row>
    <row r="936" spans="1:34" s="26" customFormat="1" ht="24" customHeight="1">
      <c r="A936" s="231">
        <f t="shared" si="406"/>
        <v>503</v>
      </c>
      <c r="B936" s="249" t="s">
        <v>667</v>
      </c>
      <c r="C936" s="232">
        <f t="shared" si="416"/>
        <v>13406566.130000001</v>
      </c>
      <c r="D936" s="228"/>
      <c r="E936" s="265"/>
      <c r="F936" s="228"/>
      <c r="G936" s="182"/>
      <c r="H936" s="234"/>
      <c r="I936" s="234"/>
      <c r="J936" s="229"/>
      <c r="K936" s="228"/>
      <c r="L936" s="182"/>
      <c r="M936" s="185"/>
      <c r="N936" s="195"/>
      <c r="O936" s="182"/>
      <c r="P936" s="182">
        <v>8832211.2200000007</v>
      </c>
      <c r="Q936" s="182"/>
      <c r="R936" s="228">
        <v>3696425.46</v>
      </c>
      <c r="S936" s="228"/>
      <c r="T936" s="228"/>
      <c r="U936" s="228"/>
      <c r="V936" s="268">
        <v>877004.56</v>
      </c>
      <c r="W936" s="230">
        <v>924.89</v>
      </c>
      <c r="X936" s="229"/>
      <c r="Y936" s="230">
        <f t="shared" si="414"/>
        <v>12870303.48</v>
      </c>
      <c r="Z936" s="230">
        <f t="shared" si="415"/>
        <v>536262.65</v>
      </c>
      <c r="AA936" s="229"/>
      <c r="AB936" s="230"/>
      <c r="AC936" s="231"/>
      <c r="AD936" s="231">
        <v>2024</v>
      </c>
      <c r="AE936" s="231">
        <v>2026</v>
      </c>
      <c r="AF936" s="25"/>
      <c r="AG936" s="262"/>
    </row>
    <row r="937" spans="1:34" s="26" customFormat="1" ht="24" customHeight="1">
      <c r="A937" s="231">
        <f t="shared" si="406"/>
        <v>504</v>
      </c>
      <c r="B937" s="249" t="s">
        <v>668</v>
      </c>
      <c r="C937" s="232">
        <f t="shared" si="416"/>
        <v>13131031.550000001</v>
      </c>
      <c r="D937" s="228"/>
      <c r="E937" s="265"/>
      <c r="F937" s="228"/>
      <c r="G937" s="182"/>
      <c r="H937" s="234"/>
      <c r="I937" s="234"/>
      <c r="J937" s="229"/>
      <c r="K937" s="228"/>
      <c r="L937" s="182"/>
      <c r="M937" s="185"/>
      <c r="N937" s="195"/>
      <c r="O937" s="182"/>
      <c r="P937" s="182">
        <v>8650689.75</v>
      </c>
      <c r="Q937" s="182"/>
      <c r="R937" s="228">
        <v>3620455.74</v>
      </c>
      <c r="S937" s="228"/>
      <c r="T937" s="228"/>
      <c r="U937" s="228"/>
      <c r="V937" s="268">
        <v>858980.18</v>
      </c>
      <c r="W937" s="230">
        <v>905.88</v>
      </c>
      <c r="X937" s="229"/>
      <c r="Y937" s="230">
        <f t="shared" si="414"/>
        <v>12605790.289999999</v>
      </c>
      <c r="Z937" s="230">
        <f t="shared" si="415"/>
        <v>525241.26</v>
      </c>
      <c r="AA937" s="229"/>
      <c r="AB937" s="230"/>
      <c r="AC937" s="231"/>
      <c r="AD937" s="231">
        <v>2024</v>
      </c>
      <c r="AE937" s="231">
        <v>2026</v>
      </c>
      <c r="AF937" s="25"/>
      <c r="AG937" s="262"/>
    </row>
    <row r="938" spans="1:34" s="26" customFormat="1" ht="24" customHeight="1">
      <c r="A938" s="231">
        <f t="shared" si="406"/>
        <v>505</v>
      </c>
      <c r="B938" s="249" t="s">
        <v>978</v>
      </c>
      <c r="C938" s="232">
        <f t="shared" si="416"/>
        <v>6394429.75</v>
      </c>
      <c r="D938" s="228"/>
      <c r="E938" s="265"/>
      <c r="F938" s="228"/>
      <c r="G938" s="182"/>
      <c r="H938" s="234"/>
      <c r="I938" s="234"/>
      <c r="J938" s="229"/>
      <c r="K938" s="228"/>
      <c r="L938" s="182"/>
      <c r="M938" s="185"/>
      <c r="N938" s="846">
        <v>2</v>
      </c>
      <c r="O938" s="295">
        <v>6217772.4800000004</v>
      </c>
      <c r="P938" s="182"/>
      <c r="Q938" s="182"/>
      <c r="R938" s="228"/>
      <c r="S938" s="228"/>
      <c r="T938" s="228"/>
      <c r="U938" s="228"/>
      <c r="V938" s="268">
        <v>155509.62</v>
      </c>
      <c r="W938" s="230">
        <v>21147.65</v>
      </c>
      <c r="X938" s="229"/>
      <c r="Y938" s="230">
        <f t="shared" si="414"/>
        <v>6138652.5599999996</v>
      </c>
      <c r="Z938" s="230">
        <f t="shared" si="415"/>
        <v>255777.19</v>
      </c>
      <c r="AA938" s="229"/>
      <c r="AB938" s="230"/>
      <c r="AC938" s="231"/>
      <c r="AD938" s="231">
        <v>2024</v>
      </c>
      <c r="AE938" s="231">
        <v>2026</v>
      </c>
      <c r="AF938" s="25"/>
      <c r="AG938" s="262"/>
    </row>
    <row r="939" spans="1:34" s="26" customFormat="1" ht="24" customHeight="1">
      <c r="A939" s="231">
        <f t="shared" si="406"/>
        <v>506</v>
      </c>
      <c r="B939" s="249" t="s">
        <v>981</v>
      </c>
      <c r="C939" s="232">
        <f t="shared" si="416"/>
        <v>6394429.75</v>
      </c>
      <c r="D939" s="228"/>
      <c r="E939" s="265"/>
      <c r="F939" s="228"/>
      <c r="G939" s="182"/>
      <c r="H939" s="234"/>
      <c r="I939" s="234"/>
      <c r="J939" s="229"/>
      <c r="K939" s="228"/>
      <c r="L939" s="182"/>
      <c r="M939" s="185"/>
      <c r="N939" s="846">
        <v>2</v>
      </c>
      <c r="O939" s="295">
        <v>6217772.4800000004</v>
      </c>
      <c r="P939" s="182"/>
      <c r="Q939" s="182"/>
      <c r="R939" s="228"/>
      <c r="S939" s="228"/>
      <c r="T939" s="228"/>
      <c r="U939" s="228"/>
      <c r="V939" s="268">
        <v>155509.62</v>
      </c>
      <c r="W939" s="230">
        <v>21147.65</v>
      </c>
      <c r="X939" s="229"/>
      <c r="Y939" s="230">
        <f t="shared" si="414"/>
        <v>6138652.5599999996</v>
      </c>
      <c r="Z939" s="230">
        <f t="shared" si="415"/>
        <v>255777.19</v>
      </c>
      <c r="AA939" s="229"/>
      <c r="AB939" s="230"/>
      <c r="AC939" s="231"/>
      <c r="AD939" s="231">
        <v>2024</v>
      </c>
      <c r="AE939" s="231">
        <v>2026</v>
      </c>
      <c r="AF939" s="25"/>
      <c r="AG939" s="262"/>
    </row>
    <row r="940" spans="1:34" s="26" customFormat="1" ht="24" customHeight="1">
      <c r="A940" s="231">
        <f t="shared" si="406"/>
        <v>507</v>
      </c>
      <c r="B940" s="249" t="s">
        <v>979</v>
      </c>
      <c r="C940" s="232">
        <f t="shared" si="416"/>
        <v>6394429.75</v>
      </c>
      <c r="D940" s="228"/>
      <c r="E940" s="265"/>
      <c r="F940" s="228"/>
      <c r="G940" s="182"/>
      <c r="H940" s="234"/>
      <c r="I940" s="234"/>
      <c r="J940" s="229"/>
      <c r="K940" s="228"/>
      <c r="L940" s="182"/>
      <c r="M940" s="185"/>
      <c r="N940" s="846">
        <v>2</v>
      </c>
      <c r="O940" s="295">
        <v>6217772.4800000004</v>
      </c>
      <c r="P940" s="182"/>
      <c r="Q940" s="182"/>
      <c r="R940" s="228"/>
      <c r="S940" s="228"/>
      <c r="T940" s="228"/>
      <c r="U940" s="228"/>
      <c r="V940" s="268">
        <v>155509.62</v>
      </c>
      <c r="W940" s="230">
        <v>21147.65</v>
      </c>
      <c r="X940" s="229"/>
      <c r="Y940" s="230">
        <f t="shared" si="414"/>
        <v>6138652.5599999996</v>
      </c>
      <c r="Z940" s="230">
        <f t="shared" si="415"/>
        <v>255777.19</v>
      </c>
      <c r="AA940" s="229"/>
      <c r="AB940" s="230"/>
      <c r="AC940" s="231"/>
      <c r="AD940" s="231">
        <v>2024</v>
      </c>
      <c r="AE940" s="231">
        <v>2026</v>
      </c>
      <c r="AF940" s="25"/>
      <c r="AG940" s="262"/>
    </row>
    <row r="941" spans="1:34" s="26" customFormat="1" ht="24" customHeight="1">
      <c r="A941" s="231">
        <f t="shared" si="406"/>
        <v>508</v>
      </c>
      <c r="B941" s="249" t="s">
        <v>980</v>
      </c>
      <c r="C941" s="232">
        <f t="shared" si="416"/>
        <v>6394429.75</v>
      </c>
      <c r="D941" s="228"/>
      <c r="E941" s="265"/>
      <c r="F941" s="228"/>
      <c r="G941" s="182"/>
      <c r="H941" s="234"/>
      <c r="I941" s="234"/>
      <c r="J941" s="229"/>
      <c r="K941" s="228"/>
      <c r="L941" s="182"/>
      <c r="M941" s="185"/>
      <c r="N941" s="846">
        <v>2</v>
      </c>
      <c r="O941" s="295">
        <v>6217772.4800000004</v>
      </c>
      <c r="P941" s="182"/>
      <c r="Q941" s="182"/>
      <c r="R941" s="228"/>
      <c r="S941" s="228"/>
      <c r="T941" s="228"/>
      <c r="U941" s="228"/>
      <c r="V941" s="268">
        <v>155509.62</v>
      </c>
      <c r="W941" s="230">
        <v>21147.65</v>
      </c>
      <c r="X941" s="229"/>
      <c r="Y941" s="230">
        <f t="shared" si="414"/>
        <v>6138652.5599999996</v>
      </c>
      <c r="Z941" s="230">
        <f t="shared" si="415"/>
        <v>255777.19</v>
      </c>
      <c r="AA941" s="229"/>
      <c r="AB941" s="230"/>
      <c r="AC941" s="231"/>
      <c r="AD941" s="231">
        <v>2024</v>
      </c>
      <c r="AE941" s="231">
        <v>2026</v>
      </c>
      <c r="AF941" s="25"/>
      <c r="AG941" s="262"/>
    </row>
    <row r="942" spans="1:34" s="26" customFormat="1" ht="24" customHeight="1">
      <c r="A942" s="231">
        <f t="shared" si="406"/>
        <v>509</v>
      </c>
      <c r="B942" s="435" t="s">
        <v>984</v>
      </c>
      <c r="C942" s="418">
        <f t="shared" si="416"/>
        <v>14091513.539999999</v>
      </c>
      <c r="D942" s="428"/>
      <c r="E942" s="492"/>
      <c r="F942" s="428"/>
      <c r="G942" s="466"/>
      <c r="H942" s="429"/>
      <c r="I942" s="429"/>
      <c r="J942" s="420"/>
      <c r="K942" s="428"/>
      <c r="L942" s="466"/>
      <c r="M942" s="474"/>
      <c r="N942" s="849">
        <v>1</v>
      </c>
      <c r="O942" s="500">
        <v>3108886.24</v>
      </c>
      <c r="P942" s="466">
        <v>4262800.92</v>
      </c>
      <c r="Q942" s="428"/>
      <c r="R942" s="428">
        <v>5871194.6799999997</v>
      </c>
      <c r="S942" s="428"/>
      <c r="T942" s="428"/>
      <c r="U942" s="428"/>
      <c r="V942" s="431">
        <f>77754.81+709379.69</f>
        <v>787134.5</v>
      </c>
      <c r="W942" s="495">
        <f>10573.86+50923.34</f>
        <v>61497.2</v>
      </c>
      <c r="X942" s="420"/>
      <c r="Y942" s="425">
        <f>(3197214.91*96%)+(10894298.63*59%)</f>
        <v>9496962.5099999998</v>
      </c>
      <c r="Z942" s="425">
        <f>(3197214.91*4%)+(10894298.63*41%)</f>
        <v>4594551.03</v>
      </c>
      <c r="AA942" s="420"/>
      <c r="AB942" s="425"/>
      <c r="AC942" s="426"/>
      <c r="AD942" s="231">
        <v>2024</v>
      </c>
      <c r="AE942" s="231">
        <v>2026</v>
      </c>
      <c r="AF942" s="25"/>
      <c r="AG942" s="262"/>
      <c r="AH942" s="262"/>
    </row>
    <row r="943" spans="1:34" s="26" customFormat="1" ht="24" customHeight="1">
      <c r="A943" s="231">
        <f t="shared" si="406"/>
        <v>510</v>
      </c>
      <c r="B943" s="445" t="s">
        <v>983</v>
      </c>
      <c r="C943" s="418">
        <f>D943+F943+G943+H943+I943+K943+L943+M943+O943+P943+Q943+R943+S943+W943+V943+X943</f>
        <v>47339527.310000002</v>
      </c>
      <c r="D943" s="428"/>
      <c r="E943" s="426"/>
      <c r="F943" s="428"/>
      <c r="G943" s="466"/>
      <c r="H943" s="429"/>
      <c r="I943" s="429"/>
      <c r="J943" s="420"/>
      <c r="K943" s="428"/>
      <c r="L943" s="466"/>
      <c r="M943" s="420"/>
      <c r="N943" s="300"/>
      <c r="O943" s="466"/>
      <c r="P943" s="466">
        <v>13778019</v>
      </c>
      <c r="Q943" s="466"/>
      <c r="R943" s="428">
        <v>30328500.440000001</v>
      </c>
      <c r="S943" s="428"/>
      <c r="T943" s="428"/>
      <c r="U943" s="428"/>
      <c r="V943" s="431">
        <v>3087456.36</v>
      </c>
      <c r="W943" s="425">
        <v>145551.51</v>
      </c>
      <c r="X943" s="420"/>
      <c r="Y943" s="425">
        <f>C943*69%</f>
        <v>32664273.84</v>
      </c>
      <c r="Z943" s="425">
        <f>C943*31%</f>
        <v>14675253.470000001</v>
      </c>
      <c r="AA943" s="420"/>
      <c r="AB943" s="425"/>
      <c r="AC943" s="426"/>
      <c r="AD943" s="231">
        <v>2024</v>
      </c>
      <c r="AE943" s="231">
        <v>2026</v>
      </c>
      <c r="AF943" s="25"/>
      <c r="AG943" s="262"/>
    </row>
    <row r="944" spans="1:34" s="26" customFormat="1" ht="24" customHeight="1">
      <c r="A944" s="231">
        <f t="shared" si="406"/>
        <v>511</v>
      </c>
      <c r="B944" s="435" t="s">
        <v>982</v>
      </c>
      <c r="C944" s="493">
        <f>D944+F944+G944+H944+I944+K944+L944+M944+O944+P944+Q944+R944+S944+W944+V944+X944</f>
        <v>5553197.0599999996</v>
      </c>
      <c r="D944" s="428"/>
      <c r="E944" s="496"/>
      <c r="F944" s="496"/>
      <c r="G944" s="466"/>
      <c r="H944" s="429"/>
      <c r="I944" s="429"/>
      <c r="J944" s="420"/>
      <c r="K944" s="428"/>
      <c r="L944" s="466"/>
      <c r="M944" s="474"/>
      <c r="N944" s="486"/>
      <c r="O944" s="474"/>
      <c r="P944" s="466">
        <v>5214269.54</v>
      </c>
      <c r="Q944" s="466"/>
      <c r="R944" s="438"/>
      <c r="S944" s="428"/>
      <c r="T944" s="428"/>
      <c r="U944" s="428"/>
      <c r="V944" s="494">
        <v>260713.48</v>
      </c>
      <c r="W944" s="495">
        <v>78214.039999999994</v>
      </c>
      <c r="X944" s="420"/>
      <c r="Y944" s="420"/>
      <c r="Z944" s="420"/>
      <c r="AA944" s="420"/>
      <c r="AB944" s="425">
        <f>C944</f>
        <v>5553197.0599999996</v>
      </c>
      <c r="AC944" s="426"/>
      <c r="AD944" s="231">
        <v>2024</v>
      </c>
      <c r="AE944" s="231">
        <v>2025</v>
      </c>
      <c r="AF944" s="25"/>
      <c r="AG944" s="91"/>
    </row>
    <row r="945" spans="1:33" s="26" customFormat="1" ht="24" customHeight="1">
      <c r="A945" s="231">
        <f t="shared" si="406"/>
        <v>512</v>
      </c>
      <c r="B945" s="435" t="s">
        <v>816</v>
      </c>
      <c r="C945" s="418">
        <f t="shared" ref="C945" si="417">D945+F945+G945+H945+I945+K945+L945+M945+O945+P945+Q945+R945+S945+W945+V945+X945</f>
        <v>3236798.96</v>
      </c>
      <c r="D945" s="428"/>
      <c r="E945" s="426"/>
      <c r="F945" s="428"/>
      <c r="G945" s="466"/>
      <c r="H945" s="429"/>
      <c r="I945" s="429"/>
      <c r="J945" s="420"/>
      <c r="K945" s="428"/>
      <c r="L945" s="466"/>
      <c r="M945" s="474"/>
      <c r="N945" s="848">
        <v>1</v>
      </c>
      <c r="O945" s="466">
        <v>3108886.24</v>
      </c>
      <c r="P945" s="466"/>
      <c r="Q945" s="466"/>
      <c r="R945" s="428"/>
      <c r="S945" s="428"/>
      <c r="T945" s="428"/>
      <c r="U945" s="428"/>
      <c r="V945" s="431">
        <v>77754.81</v>
      </c>
      <c r="W945" s="425">
        <v>50157.91</v>
      </c>
      <c r="X945" s="420"/>
      <c r="Y945" s="425">
        <f>C945*59%</f>
        <v>1909711.39</v>
      </c>
      <c r="Z945" s="425">
        <f>C945*41%</f>
        <v>1327087.57</v>
      </c>
      <c r="AA945" s="420"/>
      <c r="AB945" s="425"/>
      <c r="AC945" s="426"/>
      <c r="AD945" s="231">
        <v>2024</v>
      </c>
      <c r="AE945" s="231">
        <v>2026</v>
      </c>
      <c r="AF945" s="91"/>
      <c r="AG945" s="262"/>
    </row>
    <row r="946" spans="1:33" s="26" customFormat="1" ht="24" customHeight="1">
      <c r="A946" s="231">
        <f t="shared" si="406"/>
        <v>513</v>
      </c>
      <c r="B946" s="435" t="s">
        <v>669</v>
      </c>
      <c r="C946" s="418">
        <f t="shared" si="416"/>
        <v>31358847.289999999</v>
      </c>
      <c r="D946" s="428"/>
      <c r="E946" s="496"/>
      <c r="F946" s="496"/>
      <c r="G946" s="466"/>
      <c r="H946" s="429"/>
      <c r="I946" s="429"/>
      <c r="J946" s="420"/>
      <c r="K946" s="428"/>
      <c r="L946" s="466"/>
      <c r="M946" s="474"/>
      <c r="N946" s="849"/>
      <c r="O946" s="474"/>
      <c r="P946" s="508">
        <v>8366684.2999999998</v>
      </c>
      <c r="Q946" s="466"/>
      <c r="R946" s="427">
        <v>20865776.489999998</v>
      </c>
      <c r="S946" s="428"/>
      <c r="T946" s="428"/>
      <c r="U946" s="428"/>
      <c r="V946" s="431">
        <v>2124146.38</v>
      </c>
      <c r="W946" s="495">
        <v>2240.12</v>
      </c>
      <c r="X946" s="420"/>
      <c r="Y946" s="425">
        <f t="shared" ref="Y946" si="418">C946*96%</f>
        <v>30104493.399999999</v>
      </c>
      <c r="Z946" s="425">
        <f t="shared" ref="Z946" si="419">C946*4%</f>
        <v>1254353.8899999999</v>
      </c>
      <c r="AA946" s="420"/>
      <c r="AB946" s="425"/>
      <c r="AC946" s="426"/>
      <c r="AD946" s="231">
        <v>2024</v>
      </c>
      <c r="AE946" s="231">
        <v>2026</v>
      </c>
      <c r="AF946" s="25"/>
      <c r="AG946" s="262"/>
    </row>
    <row r="947" spans="1:33" s="26" customFormat="1" ht="24" customHeight="1">
      <c r="A947" s="231">
        <f t="shared" si="406"/>
        <v>514</v>
      </c>
      <c r="B947" s="249" t="s">
        <v>235</v>
      </c>
      <c r="C947" s="232">
        <f>D947+F947+G947+H947+I947+K947+L947+M947+O947+P947+Q947+R947+S947+W947+V947+X947</f>
        <v>8880134.9299999997</v>
      </c>
      <c r="D947" s="228">
        <f>ROUND(719.2*589.88,2)</f>
        <v>424241.7</v>
      </c>
      <c r="E947" s="265">
        <v>1</v>
      </c>
      <c r="F947" s="228">
        <v>1197448.78</v>
      </c>
      <c r="G947" s="182">
        <f>ROUND(719.2*596.38,2)</f>
        <v>428916.5</v>
      </c>
      <c r="H947" s="234">
        <f>719.2*1074.75</f>
        <v>772960.2</v>
      </c>
      <c r="I947" s="234">
        <f>719.2*4857.9</f>
        <v>3493801.68</v>
      </c>
      <c r="J947" s="229"/>
      <c r="K947" s="228"/>
      <c r="L947" s="182">
        <f>719.2*616.25</f>
        <v>443207</v>
      </c>
      <c r="M947" s="185"/>
      <c r="N947" s="846"/>
      <c r="O947" s="182"/>
      <c r="P947" s="236"/>
      <c r="Q947" s="228"/>
      <c r="R947" s="229"/>
      <c r="S947" s="234">
        <v>1367307.08</v>
      </c>
      <c r="T947" s="234"/>
      <c r="U947" s="234"/>
      <c r="V947" s="268">
        <f>561968.4+68365.35</f>
        <v>630333.75</v>
      </c>
      <c r="W947" s="230">
        <f>ROUND((D947+F947+G947+H947+I947+L947+K947+M947+O947+P947+Q947+R947+S947)*1.5%,2)</f>
        <v>121918.24</v>
      </c>
      <c r="X947" s="229"/>
      <c r="Y947" s="229"/>
      <c r="Z947" s="229"/>
      <c r="AA947" s="229"/>
      <c r="AB947" s="230">
        <f>C947</f>
        <v>8880134.9299999997</v>
      </c>
      <c r="AC947" s="231"/>
      <c r="AD947" s="231">
        <v>2024</v>
      </c>
      <c r="AE947" s="231">
        <v>2025</v>
      </c>
      <c r="AF947" s="25"/>
      <c r="AG947" s="91"/>
    </row>
    <row r="948" spans="1:33" s="26" customFormat="1" ht="24" customHeight="1">
      <c r="A948" s="231">
        <f t="shared" si="406"/>
        <v>515</v>
      </c>
      <c r="B948" s="249" t="s">
        <v>670</v>
      </c>
      <c r="C948" s="232">
        <f t="shared" ref="C948:C969" si="420">D948+F948+G948+H948+I948+K948+L948+M948+O948+P948+Q948+R948+S948+W948+V948+X948</f>
        <v>14266567.970000001</v>
      </c>
      <c r="D948" s="228"/>
      <c r="E948" s="265"/>
      <c r="F948" s="228"/>
      <c r="G948" s="182"/>
      <c r="H948" s="234"/>
      <c r="I948" s="234"/>
      <c r="J948" s="229"/>
      <c r="K948" s="228"/>
      <c r="L948" s="182"/>
      <c r="M948" s="185"/>
      <c r="N948" s="846"/>
      <c r="O948" s="182"/>
      <c r="P948" s="301">
        <v>9398778.2200000007</v>
      </c>
      <c r="Q948" s="182"/>
      <c r="R948" s="238">
        <v>3933543.05</v>
      </c>
      <c r="S948" s="234"/>
      <c r="T948" s="234"/>
      <c r="U948" s="234"/>
      <c r="V948" s="268">
        <v>933262.48</v>
      </c>
      <c r="W948" s="230">
        <v>984.22</v>
      </c>
      <c r="X948" s="229"/>
      <c r="Y948" s="230">
        <f t="shared" ref="Y948:Y967" si="421">C948*96%</f>
        <v>13695905.25</v>
      </c>
      <c r="Z948" s="230">
        <f t="shared" ref="Z948:Z967" si="422">C948*4%</f>
        <v>570662.72</v>
      </c>
      <c r="AA948" s="229"/>
      <c r="AB948" s="230"/>
      <c r="AC948" s="231"/>
      <c r="AD948" s="231">
        <v>2024</v>
      </c>
      <c r="AE948" s="231">
        <v>2024</v>
      </c>
      <c r="AF948" s="25"/>
      <c r="AG948" s="262"/>
    </row>
    <row r="949" spans="1:33" s="26" customFormat="1" ht="24" customHeight="1">
      <c r="A949" s="231">
        <f t="shared" si="406"/>
        <v>516</v>
      </c>
      <c r="B949" s="249" t="s">
        <v>671</v>
      </c>
      <c r="C949" s="232">
        <f t="shared" si="420"/>
        <v>13985467.050000001</v>
      </c>
      <c r="D949" s="228"/>
      <c r="E949" s="265"/>
      <c r="F949" s="228"/>
      <c r="G949" s="182"/>
      <c r="H949" s="234"/>
      <c r="I949" s="234"/>
      <c r="J949" s="229"/>
      <c r="K949" s="228"/>
      <c r="L949" s="182"/>
      <c r="M949" s="185"/>
      <c r="N949" s="846"/>
      <c r="O949" s="182"/>
      <c r="P949" s="301">
        <v>9213589.6500000004</v>
      </c>
      <c r="Q949" s="182"/>
      <c r="R949" s="238">
        <v>3856038.6</v>
      </c>
      <c r="S949" s="234"/>
      <c r="T949" s="234"/>
      <c r="U949" s="234"/>
      <c r="V949" s="268">
        <v>914873.98</v>
      </c>
      <c r="W949" s="230">
        <v>964.82</v>
      </c>
      <c r="X949" s="229"/>
      <c r="Y949" s="230">
        <f t="shared" si="421"/>
        <v>13426048.369999999</v>
      </c>
      <c r="Z949" s="230">
        <f t="shared" si="422"/>
        <v>559418.68000000005</v>
      </c>
      <c r="AA949" s="229"/>
      <c r="AB949" s="230"/>
      <c r="AC949" s="231"/>
      <c r="AD949" s="231">
        <v>2024</v>
      </c>
      <c r="AE949" s="231">
        <v>2026</v>
      </c>
      <c r="AF949" s="25"/>
      <c r="AG949" s="262"/>
    </row>
    <row r="950" spans="1:33" s="26" customFormat="1" ht="24" customHeight="1">
      <c r="A950" s="231">
        <f t="shared" si="406"/>
        <v>517</v>
      </c>
      <c r="B950" s="435" t="s">
        <v>672</v>
      </c>
      <c r="C950" s="418">
        <f t="shared" si="420"/>
        <v>14010803.27</v>
      </c>
      <c r="D950" s="428"/>
      <c r="E950" s="492"/>
      <c r="F950" s="428"/>
      <c r="G950" s="466"/>
      <c r="H950" s="429"/>
      <c r="I950" s="429"/>
      <c r="J950" s="420"/>
      <c r="K950" s="428"/>
      <c r="L950" s="466"/>
      <c r="M950" s="474"/>
      <c r="N950" s="849"/>
      <c r="O950" s="466"/>
      <c r="P950" s="508">
        <v>9025259.7100000009</v>
      </c>
      <c r="Q950" s="466"/>
      <c r="R950" s="427">
        <v>4028697.04</v>
      </c>
      <c r="S950" s="429"/>
      <c r="T950" s="429"/>
      <c r="U950" s="429"/>
      <c r="V950" s="431">
        <v>955838.49</v>
      </c>
      <c r="W950" s="425">
        <v>1008.03</v>
      </c>
      <c r="X950" s="420"/>
      <c r="Y950" s="425">
        <f t="shared" si="421"/>
        <v>13450371.140000001</v>
      </c>
      <c r="Z950" s="425">
        <f t="shared" si="422"/>
        <v>560432.13</v>
      </c>
      <c r="AA950" s="420"/>
      <c r="AB950" s="425"/>
      <c r="AC950" s="426"/>
      <c r="AD950" s="231">
        <v>2024</v>
      </c>
      <c r="AE950" s="231">
        <v>2024</v>
      </c>
      <c r="AF950" s="25"/>
      <c r="AG950" s="262"/>
    </row>
    <row r="951" spans="1:33" s="26" customFormat="1" ht="24" customHeight="1">
      <c r="A951" s="231">
        <f t="shared" si="406"/>
        <v>518</v>
      </c>
      <c r="B951" s="435" t="s">
        <v>673</v>
      </c>
      <c r="C951" s="418">
        <f t="shared" si="420"/>
        <v>11341448.41</v>
      </c>
      <c r="D951" s="428"/>
      <c r="E951" s="492"/>
      <c r="F951" s="428"/>
      <c r="G951" s="466"/>
      <c r="H951" s="429"/>
      <c r="I951" s="429"/>
      <c r="J951" s="420"/>
      <c r="K951" s="428"/>
      <c r="L951" s="466"/>
      <c r="M951" s="474"/>
      <c r="N951" s="849"/>
      <c r="O951" s="466"/>
      <c r="P951" s="508">
        <v>7471716.9800000004</v>
      </c>
      <c r="Q951" s="466"/>
      <c r="R951" s="427">
        <v>3127036.28</v>
      </c>
      <c r="S951" s="429"/>
      <c r="T951" s="429"/>
      <c r="U951" s="429"/>
      <c r="V951" s="431">
        <v>741912.73</v>
      </c>
      <c r="W951" s="425">
        <v>782.42</v>
      </c>
      <c r="X951" s="420"/>
      <c r="Y951" s="425">
        <f t="shared" si="421"/>
        <v>10887790.470000001</v>
      </c>
      <c r="Z951" s="425">
        <f t="shared" si="422"/>
        <v>453657.94</v>
      </c>
      <c r="AA951" s="420"/>
      <c r="AB951" s="425"/>
      <c r="AC951" s="426"/>
      <c r="AD951" s="231">
        <v>2024</v>
      </c>
      <c r="AE951" s="231">
        <v>2026</v>
      </c>
      <c r="AF951" s="25"/>
      <c r="AG951" s="262"/>
    </row>
    <row r="952" spans="1:33" s="26" customFormat="1" ht="24" customHeight="1">
      <c r="A952" s="231">
        <f t="shared" si="406"/>
        <v>519</v>
      </c>
      <c r="B952" s="435" t="s">
        <v>674</v>
      </c>
      <c r="C952" s="418">
        <f t="shared" si="420"/>
        <v>14336147.43</v>
      </c>
      <c r="D952" s="428"/>
      <c r="E952" s="492"/>
      <c r="F952" s="428"/>
      <c r="G952" s="466"/>
      <c r="H952" s="429"/>
      <c r="I952" s="429"/>
      <c r="J952" s="420"/>
      <c r="K952" s="428"/>
      <c r="L952" s="466"/>
      <c r="M952" s="474"/>
      <c r="N952" s="849"/>
      <c r="O952" s="466"/>
      <c r="P952" s="508">
        <v>9444616.9700000007</v>
      </c>
      <c r="Q952" s="466"/>
      <c r="R952" s="427">
        <v>3952727.33</v>
      </c>
      <c r="S952" s="429"/>
      <c r="T952" s="429"/>
      <c r="U952" s="429"/>
      <c r="V952" s="431">
        <v>937814.11</v>
      </c>
      <c r="W952" s="425">
        <v>989.02</v>
      </c>
      <c r="X952" s="420"/>
      <c r="Y952" s="425">
        <f t="shared" si="421"/>
        <v>13762701.529999999</v>
      </c>
      <c r="Z952" s="425">
        <f t="shared" si="422"/>
        <v>573445.9</v>
      </c>
      <c r="AA952" s="420"/>
      <c r="AB952" s="425"/>
      <c r="AC952" s="426"/>
      <c r="AD952" s="231">
        <v>2024</v>
      </c>
      <c r="AE952" s="231">
        <v>2026</v>
      </c>
      <c r="AF952" s="25"/>
      <c r="AG952" s="262"/>
    </row>
    <row r="953" spans="1:33" s="26" customFormat="1" ht="24" customHeight="1">
      <c r="A953" s="231">
        <f t="shared" si="406"/>
        <v>520</v>
      </c>
      <c r="B953" s="435" t="s">
        <v>675</v>
      </c>
      <c r="C953" s="418">
        <f t="shared" si="420"/>
        <v>3197214.88</v>
      </c>
      <c r="D953" s="428"/>
      <c r="E953" s="492"/>
      <c r="F953" s="428"/>
      <c r="G953" s="466"/>
      <c r="H953" s="429"/>
      <c r="I953" s="429"/>
      <c r="J953" s="420"/>
      <c r="K953" s="428"/>
      <c r="L953" s="466"/>
      <c r="M953" s="474"/>
      <c r="N953" s="849">
        <v>1</v>
      </c>
      <c r="O953" s="500">
        <v>3108886.24</v>
      </c>
      <c r="P953" s="508"/>
      <c r="Q953" s="466"/>
      <c r="R953" s="420"/>
      <c r="S953" s="429"/>
      <c r="T953" s="429"/>
      <c r="U953" s="429"/>
      <c r="V953" s="431">
        <v>77754.81</v>
      </c>
      <c r="W953" s="495">
        <v>10573.83</v>
      </c>
      <c r="X953" s="420"/>
      <c r="Y953" s="425">
        <f t="shared" si="421"/>
        <v>3069326.28</v>
      </c>
      <c r="Z953" s="425">
        <f t="shared" si="422"/>
        <v>127888.6</v>
      </c>
      <c r="AA953" s="420"/>
      <c r="AB953" s="425"/>
      <c r="AC953" s="426"/>
      <c r="AD953" s="231">
        <v>2024</v>
      </c>
      <c r="AE953" s="231">
        <v>2026</v>
      </c>
      <c r="AF953" s="25"/>
      <c r="AG953" s="262"/>
    </row>
    <row r="954" spans="1:33" s="26" customFormat="1" ht="24" customHeight="1">
      <c r="A954" s="231">
        <f t="shared" si="406"/>
        <v>521</v>
      </c>
      <c r="B954" s="435" t="s">
        <v>817</v>
      </c>
      <c r="C954" s="418">
        <f t="shared" si="420"/>
        <v>3005450.56</v>
      </c>
      <c r="D954" s="428"/>
      <c r="E954" s="426"/>
      <c r="F954" s="428"/>
      <c r="G954" s="466"/>
      <c r="H954" s="429"/>
      <c r="I954" s="429"/>
      <c r="J954" s="420"/>
      <c r="K954" s="428"/>
      <c r="L954" s="466"/>
      <c r="M954" s="501"/>
      <c r="N954" s="850">
        <v>1</v>
      </c>
      <c r="O954" s="507">
        <v>2922359.98</v>
      </c>
      <c r="P954" s="507"/>
      <c r="Q954" s="466"/>
      <c r="R954" s="428"/>
      <c r="S954" s="428"/>
      <c r="T954" s="428"/>
      <c r="U954" s="428"/>
      <c r="V954" s="431">
        <v>73059</v>
      </c>
      <c r="W954" s="425">
        <v>10031.58</v>
      </c>
      <c r="X954" s="420"/>
      <c r="Y954" s="425">
        <f>C954*59%</f>
        <v>1773215.83</v>
      </c>
      <c r="Z954" s="425">
        <f>C954*41%</f>
        <v>1232234.73</v>
      </c>
      <c r="AA954" s="420"/>
      <c r="AB954" s="425"/>
      <c r="AC954" s="426"/>
      <c r="AD954" s="231">
        <v>2024</v>
      </c>
      <c r="AE954" s="231">
        <v>2026</v>
      </c>
      <c r="AF954" s="91"/>
      <c r="AG954" s="262"/>
    </row>
    <row r="955" spans="1:33" s="26" customFormat="1" ht="24" customHeight="1">
      <c r="A955" s="231">
        <f t="shared" si="406"/>
        <v>522</v>
      </c>
      <c r="B955" s="435" t="s">
        <v>676</v>
      </c>
      <c r="C955" s="418">
        <f t="shared" si="420"/>
        <v>6394429.7999999998</v>
      </c>
      <c r="D955" s="428"/>
      <c r="E955" s="492"/>
      <c r="F955" s="428"/>
      <c r="G955" s="466"/>
      <c r="H955" s="429"/>
      <c r="I955" s="429"/>
      <c r="J955" s="420"/>
      <c r="K955" s="428"/>
      <c r="L955" s="466"/>
      <c r="M955" s="474"/>
      <c r="N955" s="849">
        <v>2</v>
      </c>
      <c r="O955" s="499">
        <v>6217772.4800000004</v>
      </c>
      <c r="P955" s="466"/>
      <c r="Q955" s="466"/>
      <c r="R955" s="428"/>
      <c r="S955" s="429"/>
      <c r="T955" s="429"/>
      <c r="U955" s="429"/>
      <c r="V955" s="431">
        <v>155509.62</v>
      </c>
      <c r="W955" s="425">
        <v>21147.7</v>
      </c>
      <c r="X955" s="420"/>
      <c r="Y955" s="425">
        <f t="shared" si="421"/>
        <v>6138652.6100000003</v>
      </c>
      <c r="Z955" s="425">
        <f t="shared" si="422"/>
        <v>255777.19</v>
      </c>
      <c r="AA955" s="420"/>
      <c r="AB955" s="425"/>
      <c r="AC955" s="426"/>
      <c r="AD955" s="231">
        <v>2024</v>
      </c>
      <c r="AE955" s="231">
        <v>2026</v>
      </c>
      <c r="AF955" s="25"/>
      <c r="AG955" s="262"/>
    </row>
    <row r="956" spans="1:33" s="26" customFormat="1" ht="24" customHeight="1">
      <c r="A956" s="231">
        <f t="shared" si="406"/>
        <v>523</v>
      </c>
      <c r="B956" s="435" t="s">
        <v>677</v>
      </c>
      <c r="C956" s="418">
        <f t="shared" si="420"/>
        <v>6394429.75</v>
      </c>
      <c r="D956" s="428"/>
      <c r="E956" s="492"/>
      <c r="F956" s="428"/>
      <c r="G956" s="466"/>
      <c r="H956" s="429"/>
      <c r="I956" s="429"/>
      <c r="J956" s="420"/>
      <c r="K956" s="428"/>
      <c r="L956" s="466"/>
      <c r="M956" s="474"/>
      <c r="N956" s="849">
        <v>2</v>
      </c>
      <c r="O956" s="499">
        <v>6217772.4800000004</v>
      </c>
      <c r="P956" s="466"/>
      <c r="Q956" s="466"/>
      <c r="R956" s="428"/>
      <c r="S956" s="429"/>
      <c r="T956" s="429"/>
      <c r="U956" s="429"/>
      <c r="V956" s="431">
        <v>155509.62</v>
      </c>
      <c r="W956" s="425">
        <v>21147.65</v>
      </c>
      <c r="X956" s="420"/>
      <c r="Y956" s="425">
        <f t="shared" si="421"/>
        <v>6138652.5599999996</v>
      </c>
      <c r="Z956" s="425">
        <f t="shared" si="422"/>
        <v>255777.19</v>
      </c>
      <c r="AA956" s="420"/>
      <c r="AB956" s="425"/>
      <c r="AC956" s="426"/>
      <c r="AD956" s="231">
        <v>2024</v>
      </c>
      <c r="AE956" s="231">
        <v>2026</v>
      </c>
      <c r="AF956" s="25"/>
      <c r="AG956" s="262"/>
    </row>
    <row r="957" spans="1:33" s="26" customFormat="1" ht="24" customHeight="1">
      <c r="A957" s="231">
        <f t="shared" si="406"/>
        <v>524</v>
      </c>
      <c r="B957" s="435" t="s">
        <v>847</v>
      </c>
      <c r="C957" s="418">
        <f t="shared" si="420"/>
        <v>12406545.380000001</v>
      </c>
      <c r="D957" s="428"/>
      <c r="E957" s="426"/>
      <c r="F957" s="428"/>
      <c r="G957" s="466"/>
      <c r="H957" s="429"/>
      <c r="I957" s="429"/>
      <c r="J957" s="420"/>
      <c r="K957" s="428"/>
      <c r="L957" s="466"/>
      <c r="M957" s="420"/>
      <c r="N957" s="505"/>
      <c r="O957" s="428"/>
      <c r="P957" s="428"/>
      <c r="Q957" s="466"/>
      <c r="R957" s="428">
        <v>11774179.34</v>
      </c>
      <c r="S957" s="428"/>
      <c r="T957" s="428"/>
      <c r="U957" s="428"/>
      <c r="V957" s="431">
        <v>588708.97</v>
      </c>
      <c r="W957" s="425">
        <v>43657.07</v>
      </c>
      <c r="X957" s="420"/>
      <c r="Y957" s="425">
        <f>C957*57.31%</f>
        <v>7110191.1600000001</v>
      </c>
      <c r="Z957" s="425">
        <f>C957*42.69%</f>
        <v>5296354.22</v>
      </c>
      <c r="AA957" s="420"/>
      <c r="AB957" s="425"/>
      <c r="AC957" s="426"/>
      <c r="AD957" s="231">
        <v>2024</v>
      </c>
      <c r="AE957" s="231">
        <v>2025</v>
      </c>
      <c r="AF957" s="316"/>
      <c r="AG957" s="262"/>
    </row>
    <row r="958" spans="1:33" s="26" customFormat="1" ht="24" customHeight="1">
      <c r="A958" s="231">
        <f t="shared" si="406"/>
        <v>525</v>
      </c>
      <c r="B958" s="435" t="s">
        <v>848</v>
      </c>
      <c r="C958" s="418">
        <f t="shared" si="420"/>
        <v>16048352.17</v>
      </c>
      <c r="D958" s="428"/>
      <c r="E958" s="426"/>
      <c r="F958" s="428"/>
      <c r="G958" s="466"/>
      <c r="H958" s="429"/>
      <c r="I958" s="429"/>
      <c r="J958" s="420"/>
      <c r="K958" s="428"/>
      <c r="L958" s="466"/>
      <c r="M958" s="420"/>
      <c r="N958" s="505"/>
      <c r="O958" s="428"/>
      <c r="P958" s="428">
        <v>7977536.3200000003</v>
      </c>
      <c r="Q958" s="466"/>
      <c r="R958" s="428">
        <v>7252825.6200000001</v>
      </c>
      <c r="S958" s="428"/>
      <c r="T958" s="428"/>
      <c r="U958" s="428"/>
      <c r="V958" s="431">
        <v>761518.1</v>
      </c>
      <c r="W958" s="425">
        <v>56472.13</v>
      </c>
      <c r="X958" s="420"/>
      <c r="Y958" s="425">
        <f>C958*57.31%</f>
        <v>9197310.6300000008</v>
      </c>
      <c r="Z958" s="425">
        <f>C958*42.69%</f>
        <v>6851041.54</v>
      </c>
      <c r="AA958" s="420"/>
      <c r="AB958" s="425"/>
      <c r="AC958" s="426"/>
      <c r="AD958" s="231">
        <v>2024</v>
      </c>
      <c r="AE958" s="231">
        <v>2025</v>
      </c>
      <c r="AF958" s="316"/>
      <c r="AG958" s="262"/>
    </row>
    <row r="959" spans="1:33" s="26" customFormat="1" ht="24" customHeight="1">
      <c r="A959" s="231">
        <f t="shared" si="406"/>
        <v>526</v>
      </c>
      <c r="B959" s="435" t="s">
        <v>849</v>
      </c>
      <c r="C959" s="418">
        <f t="shared" si="420"/>
        <v>18080772.710000001</v>
      </c>
      <c r="D959" s="428"/>
      <c r="E959" s="426"/>
      <c r="F959" s="428"/>
      <c r="G959" s="466"/>
      <c r="H959" s="429"/>
      <c r="I959" s="429"/>
      <c r="J959" s="420"/>
      <c r="K959" s="428"/>
      <c r="L959" s="466"/>
      <c r="M959" s="420"/>
      <c r="N959" s="505"/>
      <c r="O959" s="428"/>
      <c r="P959" s="428">
        <v>8987839.9700000007</v>
      </c>
      <c r="Q959" s="466"/>
      <c r="R959" s="428">
        <v>8171349.3099999996</v>
      </c>
      <c r="S959" s="428"/>
      <c r="T959" s="428"/>
      <c r="U959" s="428"/>
      <c r="V959" s="431">
        <v>857959.47</v>
      </c>
      <c r="W959" s="425">
        <v>63623.96</v>
      </c>
      <c r="X959" s="420"/>
      <c r="Y959" s="425">
        <f>C959*57.31%</f>
        <v>10362090.84</v>
      </c>
      <c r="Z959" s="425">
        <f>C959*42.69%</f>
        <v>7718681.8700000001</v>
      </c>
      <c r="AA959" s="420"/>
      <c r="AB959" s="425"/>
      <c r="AC959" s="426"/>
      <c r="AD959" s="231">
        <v>2024</v>
      </c>
      <c r="AE959" s="231">
        <v>2025</v>
      </c>
      <c r="AF959" s="91"/>
      <c r="AG959" s="262"/>
    </row>
    <row r="960" spans="1:33" s="26" customFormat="1" ht="24" customHeight="1">
      <c r="A960" s="231">
        <f t="shared" si="406"/>
        <v>527</v>
      </c>
      <c r="B960" s="435" t="s">
        <v>1276</v>
      </c>
      <c r="C960" s="418">
        <f t="shared" si="420"/>
        <v>32917189.149999999</v>
      </c>
      <c r="D960" s="428"/>
      <c r="E960" s="492"/>
      <c r="F960" s="428"/>
      <c r="G960" s="466"/>
      <c r="H960" s="429"/>
      <c r="I960" s="429"/>
      <c r="J960" s="420"/>
      <c r="K960" s="428"/>
      <c r="L960" s="466"/>
      <c r="M960" s="474"/>
      <c r="N960" s="486"/>
      <c r="O960" s="499"/>
      <c r="P960" s="466">
        <v>16112625.550000001</v>
      </c>
      <c r="Q960" s="466"/>
      <c r="R960" s="428">
        <v>14648891.43</v>
      </c>
      <c r="S960" s="429"/>
      <c r="T960" s="429"/>
      <c r="U960" s="429"/>
      <c r="V960" s="431">
        <v>2153306.1800000002</v>
      </c>
      <c r="W960" s="425">
        <v>2365.9899999999998</v>
      </c>
      <c r="X960" s="420"/>
      <c r="Y960" s="425">
        <f t="shared" si="421"/>
        <v>31600501.579999998</v>
      </c>
      <c r="Z960" s="425">
        <f t="shared" si="422"/>
        <v>1316687.57</v>
      </c>
      <c r="AA960" s="420"/>
      <c r="AB960" s="425"/>
      <c r="AC960" s="426"/>
      <c r="AD960" s="231">
        <v>2024</v>
      </c>
      <c r="AE960" s="231">
        <v>2025</v>
      </c>
      <c r="AF960" s="25"/>
      <c r="AG960" s="262"/>
    </row>
    <row r="961" spans="1:33" s="26" customFormat="1" ht="24" customHeight="1">
      <c r="A961" s="231">
        <f t="shared" si="406"/>
        <v>528</v>
      </c>
      <c r="B961" s="435" t="s">
        <v>1277</v>
      </c>
      <c r="C961" s="418">
        <f t="shared" si="420"/>
        <v>13040980.57</v>
      </c>
      <c r="D961" s="428"/>
      <c r="E961" s="426"/>
      <c r="F961" s="428"/>
      <c r="G961" s="466"/>
      <c r="H961" s="429"/>
      <c r="I961" s="429"/>
      <c r="J961" s="420"/>
      <c r="K961" s="428"/>
      <c r="L961" s="466"/>
      <c r="M961" s="420"/>
      <c r="N961" s="505"/>
      <c r="O961" s="428"/>
      <c r="P961" s="428">
        <v>8720250.2899999991</v>
      </c>
      <c r="Q961" s="466"/>
      <c r="R961" s="428">
        <v>3649567.97</v>
      </c>
      <c r="S961" s="428"/>
      <c r="T961" s="428"/>
      <c r="U961" s="428"/>
      <c r="V961" s="431">
        <v>618490.92000000004</v>
      </c>
      <c r="W961" s="425">
        <v>52671.39</v>
      </c>
      <c r="X961" s="420"/>
      <c r="Y961" s="425">
        <f>C961*57.31%</f>
        <v>7473785.96</v>
      </c>
      <c r="Z961" s="425">
        <f>C961*42.69%</f>
        <v>5567194.6100000003</v>
      </c>
      <c r="AA961" s="420"/>
      <c r="AB961" s="425"/>
      <c r="AC961" s="426"/>
      <c r="AD961" s="231">
        <v>2024</v>
      </c>
      <c r="AE961" s="231">
        <v>2025</v>
      </c>
      <c r="AF961" s="91"/>
      <c r="AG961" s="262"/>
    </row>
    <row r="962" spans="1:33" s="26" customFormat="1" ht="24" customHeight="1">
      <c r="A962" s="231">
        <f t="shared" si="406"/>
        <v>529</v>
      </c>
      <c r="B962" s="435" t="s">
        <v>931</v>
      </c>
      <c r="C962" s="418">
        <f t="shared" si="420"/>
        <v>13111460.789999999</v>
      </c>
      <c r="D962" s="428"/>
      <c r="E962" s="426"/>
      <c r="F962" s="428"/>
      <c r="G962" s="466"/>
      <c r="H962" s="429"/>
      <c r="I962" s="429"/>
      <c r="J962" s="420"/>
      <c r="K962" s="428"/>
      <c r="L962" s="466"/>
      <c r="M962" s="420"/>
      <c r="N962" s="505"/>
      <c r="O962" s="428"/>
      <c r="P962" s="428">
        <v>8767379.0600000005</v>
      </c>
      <c r="Q962" s="466"/>
      <c r="R962" s="428">
        <v>3669292.13</v>
      </c>
      <c r="S962" s="428"/>
      <c r="T962" s="428"/>
      <c r="U962" s="428"/>
      <c r="V962" s="431">
        <v>621833.55000000005</v>
      </c>
      <c r="W962" s="425">
        <v>52956.05</v>
      </c>
      <c r="X962" s="420"/>
      <c r="Y962" s="425">
        <f>C962*57.31%</f>
        <v>7514178.1799999997</v>
      </c>
      <c r="Z962" s="425">
        <f>C962*42.69%</f>
        <v>5597282.6100000003</v>
      </c>
      <c r="AA962" s="420"/>
      <c r="AB962" s="425"/>
      <c r="AC962" s="426"/>
      <c r="AD962" s="231">
        <v>2024</v>
      </c>
      <c r="AE962" s="231">
        <v>2025</v>
      </c>
      <c r="AF962" s="91"/>
      <c r="AG962" s="262"/>
    </row>
    <row r="963" spans="1:33" s="26" customFormat="1" ht="24" customHeight="1">
      <c r="A963" s="231">
        <f t="shared" si="406"/>
        <v>530</v>
      </c>
      <c r="B963" s="435" t="s">
        <v>932</v>
      </c>
      <c r="C963" s="418">
        <f t="shared" si="420"/>
        <v>28589824.789999999</v>
      </c>
      <c r="D963" s="428"/>
      <c r="E963" s="492"/>
      <c r="F963" s="428"/>
      <c r="G963" s="466"/>
      <c r="H963" s="429"/>
      <c r="I963" s="429"/>
      <c r="J963" s="420"/>
      <c r="K963" s="428"/>
      <c r="L963" s="466"/>
      <c r="M963" s="474"/>
      <c r="N963" s="486"/>
      <c r="O963" s="499"/>
      <c r="P963" s="466">
        <v>13994425.189999999</v>
      </c>
      <c r="Q963" s="466"/>
      <c r="R963" s="428">
        <v>12723116.710000001</v>
      </c>
      <c r="S963" s="429"/>
      <c r="T963" s="429"/>
      <c r="U963" s="429"/>
      <c r="V963" s="431">
        <v>1870227.94</v>
      </c>
      <c r="W963" s="425">
        <v>2054.9499999999998</v>
      </c>
      <c r="X963" s="420"/>
      <c r="Y963" s="425">
        <f t="shared" si="421"/>
        <v>27446231.800000001</v>
      </c>
      <c r="Z963" s="425">
        <f t="shared" si="422"/>
        <v>1143592.99</v>
      </c>
      <c r="AA963" s="420"/>
      <c r="AB963" s="425"/>
      <c r="AC963" s="426"/>
      <c r="AD963" s="231">
        <v>2024</v>
      </c>
      <c r="AE963" s="231">
        <v>2025</v>
      </c>
      <c r="AF963" s="25"/>
      <c r="AG963" s="262"/>
    </row>
    <row r="964" spans="1:33" s="26" customFormat="1" ht="24" customHeight="1">
      <c r="A964" s="231">
        <f t="shared" si="406"/>
        <v>531</v>
      </c>
      <c r="B964" s="435" t="s">
        <v>850</v>
      </c>
      <c r="C964" s="418">
        <f t="shared" si="420"/>
        <v>22843835.5</v>
      </c>
      <c r="D964" s="428"/>
      <c r="E964" s="426"/>
      <c r="F964" s="428"/>
      <c r="G964" s="466"/>
      <c r="H964" s="429"/>
      <c r="I964" s="429"/>
      <c r="J964" s="420"/>
      <c r="K964" s="428"/>
      <c r="L964" s="466"/>
      <c r="M964" s="420"/>
      <c r="N964" s="505"/>
      <c r="O964" s="428"/>
      <c r="P964" s="466">
        <v>9153978.5999999996</v>
      </c>
      <c r="Q964" s="466"/>
      <c r="R964" s="428">
        <v>12129430.1</v>
      </c>
      <c r="S964" s="428"/>
      <c r="T964" s="428"/>
      <c r="U964" s="428"/>
      <c r="V964" s="425">
        <v>1489838.61</v>
      </c>
      <c r="W964" s="425">
        <v>70588.19</v>
      </c>
      <c r="X964" s="420"/>
      <c r="Y964" s="425">
        <f>C964*94%</f>
        <v>21473205.370000001</v>
      </c>
      <c r="Z964" s="425">
        <f>C964*6%</f>
        <v>1370630.13</v>
      </c>
      <c r="AA964" s="420"/>
      <c r="AB964" s="425"/>
      <c r="AC964" s="426"/>
      <c r="AD964" s="231">
        <v>2024</v>
      </c>
      <c r="AE964" s="231">
        <v>2025</v>
      </c>
      <c r="AF964" s="316"/>
      <c r="AG964" s="262"/>
    </row>
    <row r="965" spans="1:33" s="26" customFormat="1" ht="24" customHeight="1">
      <c r="A965" s="231">
        <f t="shared" si="406"/>
        <v>532</v>
      </c>
      <c r="B965" s="435" t="s">
        <v>851</v>
      </c>
      <c r="C965" s="418">
        <f t="shared" si="420"/>
        <v>17879132.140000001</v>
      </c>
      <c r="D965" s="428"/>
      <c r="E965" s="426"/>
      <c r="F965" s="428"/>
      <c r="G965" s="466"/>
      <c r="H965" s="429"/>
      <c r="I965" s="429"/>
      <c r="J965" s="420"/>
      <c r="K965" s="428"/>
      <c r="L965" s="466"/>
      <c r="M965" s="420"/>
      <c r="N965" s="505"/>
      <c r="O965" s="428"/>
      <c r="P965" s="466">
        <v>8725235.5600000005</v>
      </c>
      <c r="Q965" s="466"/>
      <c r="R965" s="428">
        <v>7932600.9199999999</v>
      </c>
      <c r="S965" s="428"/>
      <c r="T965" s="428"/>
      <c r="U965" s="428"/>
      <c r="V965" s="425">
        <v>1166048.56</v>
      </c>
      <c r="W965" s="425">
        <v>55247.1</v>
      </c>
      <c r="X965" s="420"/>
      <c r="Y965" s="425">
        <f>C965*94%</f>
        <v>16806384.210000001</v>
      </c>
      <c r="Z965" s="425">
        <f>C965*6%</f>
        <v>1072747.93</v>
      </c>
      <c r="AA965" s="420"/>
      <c r="AB965" s="425"/>
      <c r="AC965" s="426"/>
      <c r="AD965" s="231">
        <v>2024</v>
      </c>
      <c r="AE965" s="231">
        <v>2025</v>
      </c>
      <c r="AF965" s="91"/>
      <c r="AG965" s="262"/>
    </row>
    <row r="966" spans="1:33" s="26" customFormat="1" ht="24" customHeight="1">
      <c r="A966" s="231">
        <f t="shared" ref="A966:A967" si="423">A965+1</f>
        <v>533</v>
      </c>
      <c r="B966" s="435" t="s">
        <v>678</v>
      </c>
      <c r="C966" s="418">
        <f t="shared" si="420"/>
        <v>19769730.210000001</v>
      </c>
      <c r="D966" s="428"/>
      <c r="E966" s="492"/>
      <c r="F966" s="428"/>
      <c r="G966" s="466"/>
      <c r="H966" s="429"/>
      <c r="I966" s="429"/>
      <c r="J966" s="420"/>
      <c r="K966" s="428"/>
      <c r="L966" s="466"/>
      <c r="M966" s="474"/>
      <c r="N966" s="486"/>
      <c r="O966" s="499"/>
      <c r="P966" s="466">
        <v>11856525.24</v>
      </c>
      <c r="Q966" s="466"/>
      <c r="R966" s="428">
        <v>6618583.5</v>
      </c>
      <c r="S966" s="429"/>
      <c r="T966" s="429"/>
      <c r="U966" s="429"/>
      <c r="V966" s="431">
        <v>1293257.6000000001</v>
      </c>
      <c r="W966" s="425">
        <v>1363.87</v>
      </c>
      <c r="X966" s="420"/>
      <c r="Y966" s="425">
        <f t="shared" si="421"/>
        <v>18978941</v>
      </c>
      <c r="Z966" s="425">
        <f t="shared" si="422"/>
        <v>790789.21</v>
      </c>
      <c r="AA966" s="420"/>
      <c r="AB966" s="425"/>
      <c r="AC966" s="426"/>
      <c r="AD966" s="231">
        <v>2024</v>
      </c>
      <c r="AE966" s="231">
        <v>2025</v>
      </c>
      <c r="AF966" s="25"/>
      <c r="AG966" s="262"/>
    </row>
    <row r="967" spans="1:33" s="26" customFormat="1" ht="24" customHeight="1">
      <c r="A967" s="231">
        <f t="shared" si="423"/>
        <v>534</v>
      </c>
      <c r="B967" s="435" t="s">
        <v>679</v>
      </c>
      <c r="C967" s="418">
        <f t="shared" si="420"/>
        <v>22422800.82</v>
      </c>
      <c r="D967" s="428"/>
      <c r="E967" s="492"/>
      <c r="F967" s="428"/>
      <c r="G967" s="466"/>
      <c r="H967" s="429"/>
      <c r="I967" s="429"/>
      <c r="J967" s="420"/>
      <c r="K967" s="428"/>
      <c r="L967" s="466"/>
      <c r="M967" s="474"/>
      <c r="N967" s="486"/>
      <c r="O967" s="499"/>
      <c r="P967" s="466">
        <v>10975762.109999999</v>
      </c>
      <c r="Q967" s="466"/>
      <c r="R967" s="428">
        <v>9978680.8200000003</v>
      </c>
      <c r="S967" s="429"/>
      <c r="T967" s="429"/>
      <c r="U967" s="429"/>
      <c r="V967" s="431">
        <v>1466811.01</v>
      </c>
      <c r="W967" s="425">
        <v>1546.88</v>
      </c>
      <c r="X967" s="420"/>
      <c r="Y967" s="425">
        <f t="shared" si="421"/>
        <v>21525888.789999999</v>
      </c>
      <c r="Z967" s="425">
        <f t="shared" si="422"/>
        <v>896912.03</v>
      </c>
      <c r="AA967" s="420"/>
      <c r="AB967" s="425"/>
      <c r="AC967" s="426"/>
      <c r="AD967" s="231">
        <v>2024</v>
      </c>
      <c r="AE967" s="231">
        <v>2025</v>
      </c>
      <c r="AF967" s="25"/>
      <c r="AG967" s="262"/>
    </row>
    <row r="968" spans="1:33" s="26" customFormat="1" ht="24" customHeight="1">
      <c r="A968" s="231">
        <f t="shared" ref="A968:A976" si="424">A967+1</f>
        <v>535</v>
      </c>
      <c r="B968" s="435" t="s">
        <v>985</v>
      </c>
      <c r="C968" s="418">
        <f t="shared" si="420"/>
        <v>30054465.489999998</v>
      </c>
      <c r="D968" s="428"/>
      <c r="E968" s="426"/>
      <c r="F968" s="428"/>
      <c r="G968" s="466"/>
      <c r="H968" s="429"/>
      <c r="I968" s="429"/>
      <c r="J968" s="420"/>
      <c r="K968" s="428"/>
      <c r="L968" s="466"/>
      <c r="M968" s="420"/>
      <c r="N968" s="505"/>
      <c r="O968" s="428"/>
      <c r="P968" s="466">
        <v>14666947.42</v>
      </c>
      <c r="Q968" s="466"/>
      <c r="R968" s="428">
        <v>13334544.369999999</v>
      </c>
      <c r="S968" s="428"/>
      <c r="T968" s="428"/>
      <c r="U968" s="428"/>
      <c r="V968" s="425">
        <v>1960104.43</v>
      </c>
      <c r="W968" s="425">
        <v>92869.27</v>
      </c>
      <c r="X968" s="420"/>
      <c r="Y968" s="425">
        <f>C968*69%</f>
        <v>20737581.190000001</v>
      </c>
      <c r="Z968" s="425">
        <f>C968*31%</f>
        <v>9316884.3000000007</v>
      </c>
      <c r="AA968" s="420"/>
      <c r="AB968" s="425"/>
      <c r="AC968" s="426"/>
      <c r="AD968" s="231">
        <v>2024</v>
      </c>
      <c r="AE968" s="231">
        <v>2025</v>
      </c>
      <c r="AF968" s="316"/>
      <c r="AG968" s="262"/>
    </row>
    <row r="969" spans="1:33" s="26" customFormat="1" ht="24" customHeight="1">
      <c r="A969" s="231">
        <f t="shared" si="424"/>
        <v>536</v>
      </c>
      <c r="B969" s="435" t="s">
        <v>986</v>
      </c>
      <c r="C969" s="418">
        <f t="shared" si="420"/>
        <v>17208556.27</v>
      </c>
      <c r="D969" s="428"/>
      <c r="E969" s="426"/>
      <c r="F969" s="428"/>
      <c r="G969" s="466"/>
      <c r="H969" s="429"/>
      <c r="I969" s="429"/>
      <c r="J969" s="420"/>
      <c r="K969" s="428"/>
      <c r="L969" s="466"/>
      <c r="M969" s="420"/>
      <c r="N969" s="505"/>
      <c r="O969" s="428"/>
      <c r="P969" s="466">
        <v>8397986.3100000005</v>
      </c>
      <c r="Q969" s="466"/>
      <c r="R969" s="428">
        <v>7635080.2999999998</v>
      </c>
      <c r="S969" s="428"/>
      <c r="T969" s="428"/>
      <c r="U969" s="428"/>
      <c r="V969" s="425">
        <v>1122314.6599999999</v>
      </c>
      <c r="W969" s="425">
        <v>53175</v>
      </c>
      <c r="X969" s="420"/>
      <c r="Y969" s="425">
        <f>C969*69%</f>
        <v>11873903.83</v>
      </c>
      <c r="Z969" s="425">
        <f>C969*31%</f>
        <v>5334652.4400000004</v>
      </c>
      <c r="AA969" s="420"/>
      <c r="AB969" s="425"/>
      <c r="AC969" s="426"/>
      <c r="AD969" s="231">
        <v>2024</v>
      </c>
      <c r="AE969" s="231">
        <v>2025</v>
      </c>
      <c r="AF969" s="91"/>
      <c r="AG969" s="262"/>
    </row>
    <row r="970" spans="1:33" s="26" customFormat="1" ht="24" customHeight="1">
      <c r="A970" s="231">
        <f t="shared" si="424"/>
        <v>537</v>
      </c>
      <c r="B970" s="249" t="s">
        <v>987</v>
      </c>
      <c r="C970" s="232">
        <f t="shared" ref="C970:C976" si="425">D970+F970+G970+H970+I970+K970+L970+M970+O970+P970+Q970+R970+S970+W970+V970+X970</f>
        <v>13452292</v>
      </c>
      <c r="D970" s="228"/>
      <c r="E970" s="265"/>
      <c r="F970" s="228"/>
      <c r="G970" s="182"/>
      <c r="H970" s="234"/>
      <c r="I970" s="234"/>
      <c r="J970" s="229"/>
      <c r="K970" s="228"/>
      <c r="L970" s="182"/>
      <c r="M970" s="185"/>
      <c r="N970" s="195"/>
      <c r="O970" s="295"/>
      <c r="P970" s="182">
        <v>8067760.0499999998</v>
      </c>
      <c r="Q970" s="182"/>
      <c r="R970" s="228">
        <v>4503608.1399999997</v>
      </c>
      <c r="S970" s="234"/>
      <c r="T970" s="234"/>
      <c r="U970" s="234"/>
      <c r="V970" s="268">
        <v>879995.77</v>
      </c>
      <c r="W970" s="230">
        <v>928.04</v>
      </c>
      <c r="X970" s="229"/>
      <c r="Y970" s="230">
        <f t="shared" ref="Y970:Y975" si="426">C970*96%</f>
        <v>12914200.32</v>
      </c>
      <c r="Z970" s="230">
        <f t="shared" ref="Z970:Z975" si="427">C970*4%</f>
        <v>538091.68000000005</v>
      </c>
      <c r="AA970" s="229"/>
      <c r="AB970" s="230"/>
      <c r="AC970" s="231"/>
      <c r="AD970" s="231">
        <v>2024</v>
      </c>
      <c r="AE970" s="231">
        <v>2024</v>
      </c>
      <c r="AF970" s="25"/>
      <c r="AG970" s="262"/>
    </row>
    <row r="971" spans="1:33" s="26" customFormat="1" ht="24" customHeight="1">
      <c r="A971" s="231">
        <f t="shared" si="424"/>
        <v>538</v>
      </c>
      <c r="B971" s="435" t="s">
        <v>988</v>
      </c>
      <c r="C971" s="418">
        <f t="shared" si="425"/>
        <v>20094884.07</v>
      </c>
      <c r="D971" s="428"/>
      <c r="E971" s="426"/>
      <c r="F971" s="428"/>
      <c r="G971" s="466"/>
      <c r="H971" s="429"/>
      <c r="I971" s="429"/>
      <c r="J971" s="420"/>
      <c r="K971" s="428"/>
      <c r="L971" s="466"/>
      <c r="M971" s="420"/>
      <c r="N971" s="505"/>
      <c r="O971" s="428"/>
      <c r="P971" s="466">
        <v>11223951.619999999</v>
      </c>
      <c r="Q971" s="466"/>
      <c r="R971" s="428">
        <v>7498282.2400000002</v>
      </c>
      <c r="S971" s="428"/>
      <c r="T971" s="428"/>
      <c r="U971" s="428"/>
      <c r="V971" s="425">
        <v>1310556.3700000001</v>
      </c>
      <c r="W971" s="425">
        <v>62093.84</v>
      </c>
      <c r="X971" s="420"/>
      <c r="Y971" s="425">
        <f>C971*69%</f>
        <v>13865470.01</v>
      </c>
      <c r="Z971" s="425">
        <f>C971*31%</f>
        <v>6229414.0599999996</v>
      </c>
      <c r="AA971" s="420"/>
      <c r="AB971" s="425"/>
      <c r="AC971" s="426"/>
      <c r="AD971" s="231">
        <v>2024</v>
      </c>
      <c r="AE971" s="231">
        <v>2025</v>
      </c>
      <c r="AF971" s="91"/>
      <c r="AG971" s="262"/>
    </row>
    <row r="972" spans="1:33" s="26" customFormat="1" ht="24" customHeight="1">
      <c r="A972" s="231">
        <f t="shared" si="424"/>
        <v>539</v>
      </c>
      <c r="B972" s="435" t="s">
        <v>989</v>
      </c>
      <c r="C972" s="418">
        <f t="shared" si="425"/>
        <v>20965541.18</v>
      </c>
      <c r="D972" s="428"/>
      <c r="E972" s="426"/>
      <c r="F972" s="428"/>
      <c r="G972" s="466"/>
      <c r="H972" s="429"/>
      <c r="I972" s="429"/>
      <c r="J972" s="420"/>
      <c r="K972" s="428"/>
      <c r="L972" s="466"/>
      <c r="M972" s="420"/>
      <c r="N972" s="505"/>
      <c r="O972" s="428"/>
      <c r="P972" s="466">
        <v>19533719.539999999</v>
      </c>
      <c r="Q972" s="466"/>
      <c r="R972" s="428"/>
      <c r="S972" s="428"/>
      <c r="T972" s="428"/>
      <c r="U972" s="428"/>
      <c r="V972" s="425">
        <v>1367360.37</v>
      </c>
      <c r="W972" s="425">
        <v>64461.27</v>
      </c>
      <c r="X972" s="420"/>
      <c r="Y972" s="425">
        <f>C972*69%</f>
        <v>14466223.41</v>
      </c>
      <c r="Z972" s="425">
        <f>C972*31%</f>
        <v>6499317.7699999996</v>
      </c>
      <c r="AA972" s="420"/>
      <c r="AB972" s="425"/>
      <c r="AC972" s="426"/>
      <c r="AD972" s="231">
        <v>2024</v>
      </c>
      <c r="AE972" s="231">
        <v>2025</v>
      </c>
      <c r="AF972" s="91"/>
      <c r="AG972" s="262"/>
    </row>
    <row r="973" spans="1:33" s="26" customFormat="1" ht="24" customHeight="1">
      <c r="A973" s="231">
        <f t="shared" si="424"/>
        <v>540</v>
      </c>
      <c r="B973" s="435" t="s">
        <v>990</v>
      </c>
      <c r="C973" s="418">
        <f t="shared" si="425"/>
        <v>32111855.300000001</v>
      </c>
      <c r="D973" s="428"/>
      <c r="E973" s="426"/>
      <c r="F973" s="428"/>
      <c r="G973" s="466"/>
      <c r="H973" s="429"/>
      <c r="I973" s="429"/>
      <c r="J973" s="420"/>
      <c r="K973" s="428"/>
      <c r="L973" s="466"/>
      <c r="M973" s="420"/>
      <c r="N973" s="505"/>
      <c r="O973" s="428"/>
      <c r="P973" s="466">
        <v>18782106.699999999</v>
      </c>
      <c r="Q973" s="466"/>
      <c r="R973" s="428">
        <v>11136700.07</v>
      </c>
      <c r="S973" s="428"/>
      <c r="T973" s="428"/>
      <c r="U973" s="428"/>
      <c r="V973" s="425">
        <v>2094316.47</v>
      </c>
      <c r="W973" s="425">
        <v>98732.06</v>
      </c>
      <c r="X973" s="420"/>
      <c r="Y973" s="425">
        <f>C973*69%</f>
        <v>22157180.16</v>
      </c>
      <c r="Z973" s="425">
        <f>C973*31%</f>
        <v>9954675.1400000006</v>
      </c>
      <c r="AA973" s="420"/>
      <c r="AB973" s="425"/>
      <c r="AC973" s="426"/>
      <c r="AD973" s="231">
        <v>2024</v>
      </c>
      <c r="AE973" s="231">
        <v>2025</v>
      </c>
      <c r="AF973" s="91"/>
      <c r="AG973" s="262"/>
    </row>
    <row r="974" spans="1:33" s="26" customFormat="1" ht="24" customHeight="1">
      <c r="A974" s="231">
        <f t="shared" si="424"/>
        <v>541</v>
      </c>
      <c r="B974" s="249" t="s">
        <v>680</v>
      </c>
      <c r="C974" s="232">
        <f t="shared" si="425"/>
        <v>29542468.219999999</v>
      </c>
      <c r="D974" s="228"/>
      <c r="E974" s="265"/>
      <c r="F974" s="228"/>
      <c r="G974" s="182"/>
      <c r="H974" s="234"/>
      <c r="I974" s="234"/>
      <c r="J974" s="229"/>
      <c r="K974" s="228"/>
      <c r="L974" s="182"/>
      <c r="M974" s="185"/>
      <c r="N974" s="195"/>
      <c r="O974" s="295"/>
      <c r="P974" s="182">
        <v>14460776.15</v>
      </c>
      <c r="Q974" s="182"/>
      <c r="R974" s="228">
        <v>13147102.51</v>
      </c>
      <c r="S974" s="234"/>
      <c r="T974" s="234"/>
      <c r="U974" s="234"/>
      <c r="V974" s="230">
        <v>1932551.5</v>
      </c>
      <c r="W974" s="230">
        <v>2038.06</v>
      </c>
      <c r="X974" s="229"/>
      <c r="Y974" s="230">
        <f t="shared" si="426"/>
        <v>28360769.489999998</v>
      </c>
      <c r="Z974" s="230">
        <f t="shared" si="427"/>
        <v>1181698.73</v>
      </c>
      <c r="AA974" s="229"/>
      <c r="AB974" s="230"/>
      <c r="AC974" s="231"/>
      <c r="AD974" s="231">
        <v>2024</v>
      </c>
      <c r="AE974" s="231">
        <v>2025</v>
      </c>
      <c r="AF974" s="25"/>
      <c r="AG974" s="262"/>
    </row>
    <row r="975" spans="1:33" s="26" customFormat="1" ht="24" customHeight="1">
      <c r="A975" s="231">
        <f t="shared" si="424"/>
        <v>542</v>
      </c>
      <c r="B975" s="249" t="s">
        <v>681</v>
      </c>
      <c r="C975" s="232">
        <f t="shared" si="425"/>
        <v>35426035.030000001</v>
      </c>
      <c r="D975" s="228"/>
      <c r="E975" s="265"/>
      <c r="F975" s="228"/>
      <c r="G975" s="182"/>
      <c r="H975" s="234"/>
      <c r="I975" s="234"/>
      <c r="J975" s="229"/>
      <c r="K975" s="228"/>
      <c r="L975" s="182"/>
      <c r="M975" s="185"/>
      <c r="N975" s="195"/>
      <c r="O975" s="295"/>
      <c r="P975" s="182">
        <v>17299335.329999998</v>
      </c>
      <c r="Q975" s="182"/>
      <c r="R975" s="228">
        <v>15806829.98</v>
      </c>
      <c r="S975" s="234"/>
      <c r="T975" s="234"/>
      <c r="U975" s="234"/>
      <c r="V975" s="268">
        <v>2317431.59</v>
      </c>
      <c r="W975" s="230">
        <v>2438.13</v>
      </c>
      <c r="X975" s="229"/>
      <c r="Y975" s="230">
        <f t="shared" si="426"/>
        <v>34008993.630000003</v>
      </c>
      <c r="Z975" s="230">
        <f t="shared" si="427"/>
        <v>1417041.4</v>
      </c>
      <c r="AA975" s="229"/>
      <c r="AB975" s="230"/>
      <c r="AC975" s="231"/>
      <c r="AD975" s="231">
        <v>2024</v>
      </c>
      <c r="AE975" s="231">
        <v>2025</v>
      </c>
      <c r="AF975" s="25"/>
      <c r="AG975" s="262"/>
    </row>
    <row r="976" spans="1:33" s="26" customFormat="1" ht="24" customHeight="1">
      <c r="A976" s="231">
        <f t="shared" si="424"/>
        <v>543</v>
      </c>
      <c r="B976" s="249" t="s">
        <v>682</v>
      </c>
      <c r="C976" s="232">
        <f t="shared" si="425"/>
        <v>43372725.210000001</v>
      </c>
      <c r="D976" s="228">
        <v>3090275.36</v>
      </c>
      <c r="E976" s="265"/>
      <c r="F976" s="228"/>
      <c r="G976" s="182">
        <v>2125058.56</v>
      </c>
      <c r="H976" s="234">
        <v>3049982.15</v>
      </c>
      <c r="I976" s="234"/>
      <c r="J976" s="229"/>
      <c r="K976" s="228"/>
      <c r="L976" s="182"/>
      <c r="M976" s="185"/>
      <c r="N976" s="195"/>
      <c r="O976" s="295"/>
      <c r="P976" s="182">
        <v>13855255.02</v>
      </c>
      <c r="Q976" s="182"/>
      <c r="R976" s="228">
        <v>18451086.57</v>
      </c>
      <c r="S976" s="234"/>
      <c r="T976" s="234"/>
      <c r="U976" s="234"/>
      <c r="V976" s="268">
        <f>2261443.91+413265.8</f>
        <v>2674709.71</v>
      </c>
      <c r="W976" s="230">
        <f>2378.1+123979.74</f>
        <v>126357.84</v>
      </c>
      <c r="X976" s="229"/>
      <c r="Y976" s="230">
        <f>34570163.6*96%</f>
        <v>33187357.059999999</v>
      </c>
      <c r="Z976" s="230">
        <f>34570163.6*4%</f>
        <v>1382806.54</v>
      </c>
      <c r="AA976" s="229"/>
      <c r="AB976" s="230">
        <f>C976-Y976-Z976</f>
        <v>8802561.6099999994</v>
      </c>
      <c r="AC976" s="231"/>
      <c r="AD976" s="231">
        <v>2024</v>
      </c>
      <c r="AE976" s="231">
        <v>2025</v>
      </c>
      <c r="AF976" s="25"/>
      <c r="AG976" s="262"/>
    </row>
    <row r="977" spans="1:33" s="148" customFormat="1" ht="24" customHeight="1">
      <c r="A977" s="883" t="s">
        <v>180</v>
      </c>
      <c r="B977" s="883"/>
      <c r="C977" s="16">
        <f t="shared" ref="C977:AC977" si="428">SUM(C835:C976)</f>
        <v>1976457430.3699999</v>
      </c>
      <c r="D977" s="16">
        <f t="shared" si="428"/>
        <v>23618417.719999999</v>
      </c>
      <c r="E977" s="396">
        <f t="shared" si="428"/>
        <v>9</v>
      </c>
      <c r="F977" s="16">
        <f t="shared" si="428"/>
        <v>14099920.779999999</v>
      </c>
      <c r="G977" s="16">
        <f t="shared" si="428"/>
        <v>19722953.309999999</v>
      </c>
      <c r="H977" s="16">
        <f t="shared" si="428"/>
        <v>28836584.640000001</v>
      </c>
      <c r="I977" s="16">
        <f t="shared" si="428"/>
        <v>71208057.790000007</v>
      </c>
      <c r="J977" s="16">
        <f t="shared" si="428"/>
        <v>0</v>
      </c>
      <c r="K977" s="16">
        <f t="shared" si="428"/>
        <v>0</v>
      </c>
      <c r="L977" s="16">
        <f t="shared" si="428"/>
        <v>22004585.75</v>
      </c>
      <c r="M977" s="16">
        <f t="shared" si="428"/>
        <v>0</v>
      </c>
      <c r="N977" s="396">
        <f t="shared" si="428"/>
        <v>165</v>
      </c>
      <c r="O977" s="16">
        <f t="shared" si="428"/>
        <v>511448371.66000003</v>
      </c>
      <c r="P977" s="16">
        <f t="shared" si="428"/>
        <v>567378326.98000002</v>
      </c>
      <c r="Q977" s="16">
        <f t="shared" si="428"/>
        <v>11351595.16</v>
      </c>
      <c r="R977" s="16">
        <f t="shared" si="428"/>
        <v>566145765.61000001</v>
      </c>
      <c r="S977" s="16">
        <f t="shared" si="428"/>
        <v>28086161.390000001</v>
      </c>
      <c r="T977" s="16">
        <f t="shared" si="428"/>
        <v>0</v>
      </c>
      <c r="U977" s="16">
        <f t="shared" si="428"/>
        <v>0</v>
      </c>
      <c r="V977" s="16">
        <f t="shared" si="428"/>
        <v>102148810.55</v>
      </c>
      <c r="W977" s="16">
        <f t="shared" si="428"/>
        <v>10407879.029999999</v>
      </c>
      <c r="X977" s="16">
        <f t="shared" si="428"/>
        <v>0</v>
      </c>
      <c r="Y977" s="399">
        <f t="shared" si="428"/>
        <v>1244361067.9400001</v>
      </c>
      <c r="Z977" s="16">
        <f t="shared" si="428"/>
        <v>377984277.22000003</v>
      </c>
      <c r="AA977" s="16">
        <f t="shared" si="428"/>
        <v>0</v>
      </c>
      <c r="AB977" s="16">
        <f t="shared" si="428"/>
        <v>354112085.20999998</v>
      </c>
      <c r="AC977" s="16">
        <f t="shared" si="428"/>
        <v>0</v>
      </c>
      <c r="AD977" s="798" t="s">
        <v>29</v>
      </c>
      <c r="AE977" s="798" t="s">
        <v>29</v>
      </c>
      <c r="AF977" s="146"/>
      <c r="AG977" s="147"/>
    </row>
    <row r="978" spans="1:33" ht="24" customHeight="1">
      <c r="A978" s="888" t="s">
        <v>374</v>
      </c>
      <c r="B978" s="888"/>
      <c r="C978" s="888"/>
      <c r="D978" s="888"/>
      <c r="E978" s="888"/>
      <c r="F978" s="888"/>
      <c r="G978" s="888"/>
      <c r="H978" s="888"/>
      <c r="I978" s="888"/>
      <c r="J978" s="888"/>
      <c r="K978" s="888"/>
      <c r="L978" s="888"/>
      <c r="M978" s="888"/>
      <c r="N978" s="888"/>
      <c r="O978" s="888"/>
      <c r="P978" s="888"/>
      <c r="Q978" s="888"/>
      <c r="R978" s="888"/>
      <c r="S978" s="888"/>
      <c r="T978" s="889"/>
      <c r="U978" s="889"/>
      <c r="V978" s="888"/>
      <c r="W978" s="888"/>
      <c r="X978" s="888"/>
      <c r="Y978" s="888"/>
      <c r="Z978" s="888"/>
      <c r="AA978" s="888"/>
      <c r="AB978" s="888"/>
      <c r="AC978" s="888"/>
      <c r="AD978" s="888"/>
      <c r="AE978" s="888"/>
      <c r="AF978" s="808"/>
      <c r="AG978" s="806"/>
    </row>
    <row r="979" spans="1:33" ht="24" customHeight="1">
      <c r="A979" s="231">
        <f>A976+1</f>
        <v>544</v>
      </c>
      <c r="B979" s="249" t="s">
        <v>746</v>
      </c>
      <c r="C979" s="232">
        <f t="shared" ref="C979:C982" si="429">D979+F979+G979+H979+I979+K979+L979+M979+O979+P979+Q979+R979+S979+W979+V979+X979</f>
        <v>19975013.84</v>
      </c>
      <c r="D979" s="254"/>
      <c r="E979" s="254"/>
      <c r="F979" s="254"/>
      <c r="G979" s="799"/>
      <c r="H979" s="254"/>
      <c r="I979" s="254"/>
      <c r="J979" s="254"/>
      <c r="K979" s="254"/>
      <c r="L979" s="799"/>
      <c r="M979" s="799"/>
      <c r="N979" s="799"/>
      <c r="O979" s="799"/>
      <c r="P979" s="228">
        <v>9684122.4499999993</v>
      </c>
      <c r="Q979" s="228"/>
      <c r="R979" s="228">
        <v>8804378.7699999996</v>
      </c>
      <c r="S979" s="254"/>
      <c r="T979" s="254"/>
      <c r="U979" s="254"/>
      <c r="V979" s="268">
        <v>1294195.07</v>
      </c>
      <c r="W979" s="230">
        <v>192317.55</v>
      </c>
      <c r="X979" s="254"/>
      <c r="Y979" s="293">
        <f>C979*71%</f>
        <v>14182259.83</v>
      </c>
      <c r="Z979" s="293">
        <f>C979*29%</f>
        <v>5792754.0099999998</v>
      </c>
      <c r="AA979" s="254"/>
      <c r="AB979" s="230"/>
      <c r="AC979" s="231"/>
      <c r="AD979" s="231">
        <v>2024</v>
      </c>
      <c r="AE979" s="231">
        <v>2025</v>
      </c>
      <c r="AF979" s="365"/>
      <c r="AG979" s="262"/>
    </row>
    <row r="980" spans="1:33" ht="24" customHeight="1">
      <c r="A980" s="231">
        <f>A979+1</f>
        <v>545</v>
      </c>
      <c r="B980" s="249" t="s">
        <v>747</v>
      </c>
      <c r="C980" s="232">
        <f t="shared" si="429"/>
        <v>30069725.850000001</v>
      </c>
      <c r="D980" s="254"/>
      <c r="E980" s="254"/>
      <c r="F980" s="254"/>
      <c r="G980" s="799"/>
      <c r="H980" s="254"/>
      <c r="I980" s="254"/>
      <c r="J980" s="254"/>
      <c r="K980" s="254"/>
      <c r="L980" s="799"/>
      <c r="M980" s="799"/>
      <c r="N980" s="799"/>
      <c r="O980" s="799"/>
      <c r="P980" s="228"/>
      <c r="Q980" s="228"/>
      <c r="R980" s="228">
        <v>29002831.57</v>
      </c>
      <c r="S980" s="254"/>
      <c r="T980" s="254"/>
      <c r="U980" s="254"/>
      <c r="V980" s="268">
        <v>928864.85</v>
      </c>
      <c r="W980" s="230">
        <v>138029.43</v>
      </c>
      <c r="X980" s="254"/>
      <c r="Y980" s="293">
        <f>C980*71%</f>
        <v>21349505.350000001</v>
      </c>
      <c r="Z980" s="293">
        <f>C980*29%</f>
        <v>8720220.5</v>
      </c>
      <c r="AA980" s="254"/>
      <c r="AB980" s="230"/>
      <c r="AC980" s="231"/>
      <c r="AD980" s="231">
        <v>2024</v>
      </c>
      <c r="AE980" s="231">
        <v>2025</v>
      </c>
      <c r="AF980" s="365"/>
      <c r="AG980" s="262"/>
    </row>
    <row r="981" spans="1:33" ht="24" customHeight="1">
      <c r="A981" s="231">
        <f t="shared" ref="A981:A982" si="430">A980+1</f>
        <v>546</v>
      </c>
      <c r="B981" s="249" t="s">
        <v>748</v>
      </c>
      <c r="C981" s="232">
        <f t="shared" si="429"/>
        <v>26992247.129999999</v>
      </c>
      <c r="D981" s="254"/>
      <c r="E981" s="254"/>
      <c r="F981" s="254"/>
      <c r="G981" s="799"/>
      <c r="H981" s="254"/>
      <c r="I981" s="254"/>
      <c r="J981" s="254"/>
      <c r="K981" s="254"/>
      <c r="L981" s="799"/>
      <c r="M981" s="799"/>
      <c r="N981" s="799"/>
      <c r="O981" s="799"/>
      <c r="P981" s="228">
        <v>13086159.949999999</v>
      </c>
      <c r="Q981" s="228"/>
      <c r="R981" s="268">
        <v>11897361.84</v>
      </c>
      <c r="S981" s="254"/>
      <c r="T981" s="254"/>
      <c r="U981" s="254"/>
      <c r="V981" s="268">
        <v>1748846.53</v>
      </c>
      <c r="W981" s="230">
        <v>259878.81</v>
      </c>
      <c r="X981" s="254"/>
      <c r="Y981" s="293">
        <f t="shared" ref="Y981:Y982" si="431">C981*71%</f>
        <v>19164495.460000001</v>
      </c>
      <c r="Z981" s="293">
        <f t="shared" ref="Z981:Z982" si="432">C981*29%</f>
        <v>7827751.6699999999</v>
      </c>
      <c r="AA981" s="254"/>
      <c r="AB981" s="230"/>
      <c r="AC981" s="231"/>
      <c r="AD981" s="231">
        <v>2024</v>
      </c>
      <c r="AE981" s="231">
        <v>2025</v>
      </c>
      <c r="AF981" s="365"/>
      <c r="AG981" s="262"/>
    </row>
    <row r="982" spans="1:33" ht="24" customHeight="1">
      <c r="A982" s="231">
        <f t="shared" si="430"/>
        <v>547</v>
      </c>
      <c r="B982" s="249" t="s">
        <v>749</v>
      </c>
      <c r="C982" s="232">
        <f t="shared" si="429"/>
        <v>10462745.34</v>
      </c>
      <c r="D982" s="254"/>
      <c r="E982" s="411"/>
      <c r="F982" s="254"/>
      <c r="G982" s="799"/>
      <c r="H982" s="254"/>
      <c r="I982" s="254"/>
      <c r="J982" s="254"/>
      <c r="K982" s="254"/>
      <c r="L982" s="799"/>
      <c r="M982" s="799"/>
      <c r="N982" s="799"/>
      <c r="O982" s="799"/>
      <c r="P982" s="228">
        <v>9684122.4499999993</v>
      </c>
      <c r="Q982" s="228"/>
      <c r="R982" s="268"/>
      <c r="S982" s="254"/>
      <c r="T982" s="254"/>
      <c r="U982" s="254"/>
      <c r="V982" s="268">
        <v>677888.57</v>
      </c>
      <c r="W982" s="230">
        <v>100734.32</v>
      </c>
      <c r="X982" s="254"/>
      <c r="Y982" s="293">
        <f t="shared" si="431"/>
        <v>7428549.1900000004</v>
      </c>
      <c r="Z982" s="293">
        <f t="shared" si="432"/>
        <v>3034196.15</v>
      </c>
      <c r="AA982" s="254"/>
      <c r="AB982" s="230"/>
      <c r="AC982" s="231"/>
      <c r="AD982" s="231">
        <v>2024</v>
      </c>
      <c r="AE982" s="231">
        <v>2025</v>
      </c>
      <c r="AF982" s="365"/>
      <c r="AG982" s="262"/>
    </row>
    <row r="983" spans="1:33" ht="24" customHeight="1">
      <c r="A983" s="231">
        <f t="shared" ref="A983:A998" si="433">A982+1</f>
        <v>548</v>
      </c>
      <c r="B983" s="509" t="s">
        <v>553</v>
      </c>
      <c r="C983" s="493">
        <f>D983+F983+G983+H983+I983+K983+L983+M983+O983+P983+Q983+R983+S983+W983+V983+X983</f>
        <v>11510886.050000001</v>
      </c>
      <c r="D983" s="496"/>
      <c r="E983" s="554">
        <v>1</v>
      </c>
      <c r="F983" s="496">
        <v>1612809</v>
      </c>
      <c r="G983" s="497"/>
      <c r="H983" s="496"/>
      <c r="I983" s="496"/>
      <c r="J983" s="496"/>
      <c r="K983" s="496"/>
      <c r="L983" s="497"/>
      <c r="M983" s="497"/>
      <c r="N983" s="497"/>
      <c r="O983" s="497"/>
      <c r="P983" s="496">
        <v>8946632.5099999998</v>
      </c>
      <c r="Q983" s="496"/>
      <c r="R983" s="496"/>
      <c r="S983" s="496"/>
      <c r="T983" s="496"/>
      <c r="U983" s="496"/>
      <c r="V983" s="504">
        <f>224000+626264.27</f>
        <v>850264.27</v>
      </c>
      <c r="W983" s="425">
        <f>24192.14+76988.13</f>
        <v>101180.27</v>
      </c>
      <c r="X983" s="496"/>
      <c r="Y983" s="425">
        <f>9649884.91*69%</f>
        <v>6658420.5899999999</v>
      </c>
      <c r="Z983" s="425">
        <f>9649884.91*31%</f>
        <v>2991464.32</v>
      </c>
      <c r="AA983" s="496"/>
      <c r="AB983" s="496">
        <f>C983-Y983-Z983</f>
        <v>1861001.14</v>
      </c>
      <c r="AC983" s="498"/>
      <c r="AD983" s="231">
        <v>2024</v>
      </c>
      <c r="AE983" s="231">
        <v>2025</v>
      </c>
      <c r="AF983" s="261"/>
      <c r="AG983" s="262"/>
    </row>
    <row r="984" spans="1:33" ht="24" customHeight="1">
      <c r="A984" s="231">
        <f t="shared" si="433"/>
        <v>549</v>
      </c>
      <c r="B984" s="317" t="s">
        <v>554</v>
      </c>
      <c r="C984" s="291">
        <f t="shared" ref="C984:C996" si="434">D984+F984+G984+H984+I984+K984+L984+M984+O984+P984+Q984+R984+S984+W984+V984+X984</f>
        <v>10666834.369999999</v>
      </c>
      <c r="D984" s="293"/>
      <c r="E984" s="403">
        <v>1</v>
      </c>
      <c r="F984" s="293">
        <v>1612809</v>
      </c>
      <c r="G984" s="296"/>
      <c r="H984" s="293"/>
      <c r="I984" s="293"/>
      <c r="J984" s="293"/>
      <c r="K984" s="293"/>
      <c r="L984" s="296"/>
      <c r="M984" s="296"/>
      <c r="N984" s="296"/>
      <c r="O984" s="296"/>
      <c r="P984" s="293"/>
      <c r="Q984" s="293"/>
      <c r="R984" s="293">
        <v>8115975.3300000001</v>
      </c>
      <c r="S984" s="293"/>
      <c r="T984" s="293"/>
      <c r="U984" s="293"/>
      <c r="V984" s="294">
        <f>224000+568118.27</f>
        <v>792118.27</v>
      </c>
      <c r="W984" s="230">
        <f>24192.14+121739.63</f>
        <v>145931.76999999999</v>
      </c>
      <c r="X984" s="293"/>
      <c r="Y984" s="230">
        <f>8805833.23*69%</f>
        <v>6076024.9299999997</v>
      </c>
      <c r="Z984" s="230">
        <f>8805833.23*31%</f>
        <v>2729808.3</v>
      </c>
      <c r="AA984" s="293"/>
      <c r="AB984" s="293">
        <f>C984-Y984-Z984</f>
        <v>1861001.14</v>
      </c>
      <c r="AC984" s="800"/>
      <c r="AD984" s="231">
        <v>2024</v>
      </c>
      <c r="AE984" s="231">
        <v>2025</v>
      </c>
      <c r="AF984" s="316"/>
      <c r="AG984" s="262"/>
    </row>
    <row r="985" spans="1:33" ht="24" customHeight="1">
      <c r="A985" s="231">
        <f t="shared" si="433"/>
        <v>550</v>
      </c>
      <c r="B985" s="317" t="s">
        <v>852</v>
      </c>
      <c r="C985" s="232">
        <f t="shared" si="434"/>
        <v>18191015.91</v>
      </c>
      <c r="D985" s="254"/>
      <c r="E985" s="411"/>
      <c r="F985" s="254"/>
      <c r="G985" s="799"/>
      <c r="H985" s="254"/>
      <c r="I985" s="254"/>
      <c r="J985" s="254"/>
      <c r="K985" s="254"/>
      <c r="L985" s="799"/>
      <c r="M985" s="799"/>
      <c r="N985" s="799"/>
      <c r="O985" s="799"/>
      <c r="P985" s="293">
        <v>8781845.2799999993</v>
      </c>
      <c r="Q985" s="293"/>
      <c r="R985" s="293">
        <v>7984068</v>
      </c>
      <c r="S985" s="293"/>
      <c r="T985" s="293"/>
      <c r="U985" s="293"/>
      <c r="V985" s="293">
        <v>1173613.93</v>
      </c>
      <c r="W985" s="293">
        <v>251488.7</v>
      </c>
      <c r="X985" s="254"/>
      <c r="Y985" s="230">
        <f>C985*69%</f>
        <v>12551800.98</v>
      </c>
      <c r="Z985" s="230">
        <f>C985*31%</f>
        <v>5639214.9299999997</v>
      </c>
      <c r="AA985" s="254"/>
      <c r="AB985" s="254"/>
      <c r="AC985" s="254"/>
      <c r="AD985" s="231">
        <v>2024</v>
      </c>
      <c r="AE985" s="231">
        <v>2025</v>
      </c>
      <c r="AF985" s="316"/>
      <c r="AG985" s="262"/>
    </row>
    <row r="986" spans="1:33" ht="24" customHeight="1">
      <c r="A986" s="585">
        <f t="shared" si="433"/>
        <v>551</v>
      </c>
      <c r="B986" s="633" t="s">
        <v>852</v>
      </c>
      <c r="C986" s="587">
        <f t="shared" si="434"/>
        <v>30958924.210000001</v>
      </c>
      <c r="D986" s="834"/>
      <c r="E986" s="834"/>
      <c r="F986" s="834"/>
      <c r="G986" s="605"/>
      <c r="H986" s="834"/>
      <c r="I986" s="834"/>
      <c r="J986" s="834"/>
      <c r="K986" s="834"/>
      <c r="L986" s="605"/>
      <c r="M986" s="605"/>
      <c r="N986" s="605"/>
      <c r="O986" s="605"/>
      <c r="P986" s="589">
        <v>8781845.2799999993</v>
      </c>
      <c r="Q986" s="589"/>
      <c r="R986" s="589">
        <f>7984068+12767908.3</f>
        <v>20751976.300000001</v>
      </c>
      <c r="S986" s="589"/>
      <c r="T986" s="589"/>
      <c r="U986" s="589"/>
      <c r="V986" s="589">
        <v>1173613.93</v>
      </c>
      <c r="W986" s="589">
        <v>251488.7</v>
      </c>
      <c r="X986" s="834"/>
      <c r="Y986" s="584">
        <f>18191015.91*69%</f>
        <v>12551800.98</v>
      </c>
      <c r="Z986" s="584">
        <f>18191015.91*31%</f>
        <v>5639214.9299999997</v>
      </c>
      <c r="AA986" s="834"/>
      <c r="AB986" s="589">
        <f>C986-Y986-Z986</f>
        <v>12767908.300000001</v>
      </c>
      <c r="AC986" s="834"/>
      <c r="AD986" s="585">
        <v>2024</v>
      </c>
      <c r="AE986" s="585">
        <v>2025</v>
      </c>
      <c r="AF986" s="316"/>
      <c r="AG986" s="262">
        <v>2025</v>
      </c>
    </row>
    <row r="987" spans="1:33" ht="24" customHeight="1">
      <c r="A987" s="585">
        <f t="shared" si="433"/>
        <v>552</v>
      </c>
      <c r="B987" s="633" t="s">
        <v>555</v>
      </c>
      <c r="C987" s="630">
        <f t="shared" si="434"/>
        <v>32919804.760000002</v>
      </c>
      <c r="D987" s="589"/>
      <c r="E987" s="403">
        <v>1</v>
      </c>
      <c r="F987" s="589">
        <v>1612809</v>
      </c>
      <c r="G987" s="588"/>
      <c r="H987" s="589"/>
      <c r="I987" s="589"/>
      <c r="J987" s="589"/>
      <c r="K987" s="589"/>
      <c r="L987" s="588"/>
      <c r="M987" s="588"/>
      <c r="N987" s="588"/>
      <c r="O987" s="588"/>
      <c r="P987" s="589">
        <v>8858856.6199999992</v>
      </c>
      <c r="Q987" s="589"/>
      <c r="R987" s="589">
        <f>8054083.33+12708263.78</f>
        <v>20762347.109999999</v>
      </c>
      <c r="S987" s="589"/>
      <c r="T987" s="589"/>
      <c r="U987" s="589"/>
      <c r="V987" s="590">
        <f>224000+1183905.79</f>
        <v>1407905.79</v>
      </c>
      <c r="W987" s="584">
        <f>24192.14+253694.1</f>
        <v>277886.24</v>
      </c>
      <c r="X987" s="589"/>
      <c r="Y987" s="584">
        <f>18350539.84*69%</f>
        <v>12661872.49</v>
      </c>
      <c r="Z987" s="584">
        <f>18350539.84*31%</f>
        <v>5688667.3499999996</v>
      </c>
      <c r="AA987" s="589"/>
      <c r="AB987" s="589">
        <f>C987-Y987-Z987</f>
        <v>14569264.92</v>
      </c>
      <c r="AC987" s="835"/>
      <c r="AD987" s="585">
        <v>2024</v>
      </c>
      <c r="AE987" s="585">
        <v>2025</v>
      </c>
      <c r="AF987" s="316"/>
      <c r="AG987" s="262" t="s">
        <v>1314</v>
      </c>
    </row>
    <row r="988" spans="1:33" ht="24" customHeight="1">
      <c r="A988" s="231">
        <f t="shared" si="433"/>
        <v>553</v>
      </c>
      <c r="B988" s="249" t="s">
        <v>556</v>
      </c>
      <c r="C988" s="291">
        <f t="shared" si="434"/>
        <v>1861001.14</v>
      </c>
      <c r="D988" s="293"/>
      <c r="E988" s="403">
        <v>1</v>
      </c>
      <c r="F988" s="293">
        <v>1612809</v>
      </c>
      <c r="G988" s="296"/>
      <c r="H988" s="293"/>
      <c r="I988" s="293"/>
      <c r="J988" s="293"/>
      <c r="K988" s="293"/>
      <c r="L988" s="296"/>
      <c r="M988" s="296"/>
      <c r="N988" s="296"/>
      <c r="O988" s="296"/>
      <c r="P988" s="293"/>
      <c r="Q988" s="293"/>
      <c r="R988" s="293"/>
      <c r="S988" s="293"/>
      <c r="T988" s="293"/>
      <c r="U988" s="293"/>
      <c r="V988" s="294">
        <v>224000</v>
      </c>
      <c r="W988" s="230">
        <v>24192.14</v>
      </c>
      <c r="X988" s="293"/>
      <c r="Y988" s="293"/>
      <c r="Z988" s="293"/>
      <c r="AA988" s="293"/>
      <c r="AB988" s="293">
        <f t="shared" ref="AB988:AB996" si="435">C988</f>
        <v>1861001.14</v>
      </c>
      <c r="AC988" s="800"/>
      <c r="AD988" s="231">
        <v>2024</v>
      </c>
      <c r="AE988" s="231">
        <v>2025</v>
      </c>
      <c r="AF988" s="261"/>
      <c r="AG988" s="271"/>
    </row>
    <row r="989" spans="1:33" ht="24" customHeight="1">
      <c r="A989" s="231">
        <f t="shared" si="433"/>
        <v>554</v>
      </c>
      <c r="B989" s="249" t="s">
        <v>557</v>
      </c>
      <c r="C989" s="291">
        <f t="shared" si="434"/>
        <v>1861001.14</v>
      </c>
      <c r="D989" s="293"/>
      <c r="E989" s="403">
        <v>1</v>
      </c>
      <c r="F989" s="293">
        <v>1612809</v>
      </c>
      <c r="G989" s="296"/>
      <c r="H989" s="293"/>
      <c r="I989" s="293"/>
      <c r="J989" s="293"/>
      <c r="K989" s="293"/>
      <c r="L989" s="296"/>
      <c r="M989" s="296"/>
      <c r="N989" s="296"/>
      <c r="O989" s="296"/>
      <c r="P989" s="293"/>
      <c r="Q989" s="293"/>
      <c r="R989" s="293"/>
      <c r="S989" s="293"/>
      <c r="T989" s="293"/>
      <c r="U989" s="293"/>
      <c r="V989" s="294">
        <v>224000</v>
      </c>
      <c r="W989" s="230">
        <v>24192.14</v>
      </c>
      <c r="X989" s="293"/>
      <c r="Y989" s="293"/>
      <c r="Z989" s="293"/>
      <c r="AA989" s="293"/>
      <c r="AB989" s="293">
        <f t="shared" si="435"/>
        <v>1861001.14</v>
      </c>
      <c r="AC989" s="800"/>
      <c r="AD989" s="231">
        <v>2024</v>
      </c>
      <c r="AE989" s="231">
        <v>2025</v>
      </c>
      <c r="AF989" s="261"/>
      <c r="AG989" s="271"/>
    </row>
    <row r="990" spans="1:33" ht="24" customHeight="1">
      <c r="A990" s="231">
        <f t="shared" si="433"/>
        <v>555</v>
      </c>
      <c r="B990" s="249" t="s">
        <v>558</v>
      </c>
      <c r="C990" s="291">
        <f t="shared" si="434"/>
        <v>1861001.14</v>
      </c>
      <c r="D990" s="293"/>
      <c r="E990" s="403">
        <v>1</v>
      </c>
      <c r="F990" s="293">
        <v>1612809</v>
      </c>
      <c r="G990" s="296"/>
      <c r="H990" s="293"/>
      <c r="I990" s="293"/>
      <c r="J990" s="293"/>
      <c r="K990" s="293"/>
      <c r="L990" s="296"/>
      <c r="M990" s="296"/>
      <c r="N990" s="296"/>
      <c r="O990" s="296"/>
      <c r="P990" s="293"/>
      <c r="Q990" s="293"/>
      <c r="R990" s="293"/>
      <c r="S990" s="293"/>
      <c r="T990" s="293"/>
      <c r="U990" s="293"/>
      <c r="V990" s="294">
        <v>224000</v>
      </c>
      <c r="W990" s="230">
        <v>24192.14</v>
      </c>
      <c r="X990" s="293"/>
      <c r="Y990" s="293"/>
      <c r="Z990" s="293"/>
      <c r="AA990" s="293"/>
      <c r="AB990" s="293">
        <f t="shared" si="435"/>
        <v>1861001.14</v>
      </c>
      <c r="AC990" s="800"/>
      <c r="AD990" s="231">
        <v>2024</v>
      </c>
      <c r="AE990" s="231">
        <v>2025</v>
      </c>
      <c r="AF990" s="261"/>
      <c r="AG990" s="271"/>
    </row>
    <row r="991" spans="1:33" ht="24" customHeight="1">
      <c r="A991" s="231">
        <f t="shared" si="433"/>
        <v>556</v>
      </c>
      <c r="B991" s="249" t="s">
        <v>559</v>
      </c>
      <c r="C991" s="291">
        <f t="shared" si="434"/>
        <v>1861001.14</v>
      </c>
      <c r="D991" s="293"/>
      <c r="E991" s="403">
        <v>1</v>
      </c>
      <c r="F991" s="293">
        <v>1612809</v>
      </c>
      <c r="G991" s="296"/>
      <c r="H991" s="293"/>
      <c r="I991" s="293"/>
      <c r="J991" s="293"/>
      <c r="K991" s="293"/>
      <c r="L991" s="296"/>
      <c r="M991" s="296"/>
      <c r="N991" s="296"/>
      <c r="O991" s="296"/>
      <c r="P991" s="293"/>
      <c r="Q991" s="293"/>
      <c r="R991" s="293"/>
      <c r="S991" s="293"/>
      <c r="T991" s="293"/>
      <c r="U991" s="293"/>
      <c r="V991" s="294">
        <v>224000</v>
      </c>
      <c r="W991" s="230">
        <v>24192.14</v>
      </c>
      <c r="X991" s="293"/>
      <c r="Y991" s="293"/>
      <c r="Z991" s="293"/>
      <c r="AA991" s="293"/>
      <c r="AB991" s="293">
        <f t="shared" si="435"/>
        <v>1861001.14</v>
      </c>
      <c r="AC991" s="800"/>
      <c r="AD991" s="231">
        <v>2024</v>
      </c>
      <c r="AE991" s="231">
        <v>2025</v>
      </c>
      <c r="AF991" s="261"/>
      <c r="AG991" s="271"/>
    </row>
    <row r="992" spans="1:33" ht="24" customHeight="1">
      <c r="A992" s="231">
        <f t="shared" si="433"/>
        <v>557</v>
      </c>
      <c r="B992" s="249" t="s">
        <v>560</v>
      </c>
      <c r="C992" s="291">
        <f t="shared" si="434"/>
        <v>1861001.14</v>
      </c>
      <c r="D992" s="293"/>
      <c r="E992" s="403">
        <v>1</v>
      </c>
      <c r="F992" s="293">
        <v>1612809</v>
      </c>
      <c r="G992" s="296"/>
      <c r="H992" s="293"/>
      <c r="I992" s="293"/>
      <c r="J992" s="293"/>
      <c r="K992" s="293"/>
      <c r="L992" s="296"/>
      <c r="M992" s="296"/>
      <c r="N992" s="296"/>
      <c r="O992" s="296"/>
      <c r="P992" s="293"/>
      <c r="Q992" s="293"/>
      <c r="R992" s="293"/>
      <c r="S992" s="293"/>
      <c r="T992" s="293"/>
      <c r="U992" s="293"/>
      <c r="V992" s="294">
        <v>224000</v>
      </c>
      <c r="W992" s="230">
        <v>24192.14</v>
      </c>
      <c r="X992" s="293"/>
      <c r="Y992" s="293"/>
      <c r="Z992" s="293"/>
      <c r="AA992" s="293"/>
      <c r="AB992" s="293">
        <f t="shared" si="435"/>
        <v>1861001.14</v>
      </c>
      <c r="AC992" s="800"/>
      <c r="AD992" s="231">
        <v>2024</v>
      </c>
      <c r="AE992" s="231">
        <v>2025</v>
      </c>
      <c r="AF992" s="261"/>
      <c r="AG992" s="271"/>
    </row>
    <row r="993" spans="1:33" ht="24" customHeight="1">
      <c r="A993" s="231">
        <f t="shared" si="433"/>
        <v>558</v>
      </c>
      <c r="B993" s="249" t="s">
        <v>561</v>
      </c>
      <c r="C993" s="291">
        <f t="shared" si="434"/>
        <v>1861001.14</v>
      </c>
      <c r="D993" s="293"/>
      <c r="E993" s="403">
        <v>1</v>
      </c>
      <c r="F993" s="293">
        <v>1612809</v>
      </c>
      <c r="G993" s="296"/>
      <c r="H993" s="293"/>
      <c r="I993" s="293"/>
      <c r="J993" s="293"/>
      <c r="K993" s="293"/>
      <c r="L993" s="296"/>
      <c r="M993" s="296"/>
      <c r="N993" s="296"/>
      <c r="O993" s="296"/>
      <c r="P993" s="293"/>
      <c r="Q993" s="293"/>
      <c r="R993" s="293"/>
      <c r="S993" s="293"/>
      <c r="T993" s="293"/>
      <c r="U993" s="293"/>
      <c r="V993" s="294">
        <v>224000</v>
      </c>
      <c r="W993" s="230">
        <v>24192.14</v>
      </c>
      <c r="X993" s="293"/>
      <c r="Y993" s="293"/>
      <c r="Z993" s="293"/>
      <c r="AA993" s="293"/>
      <c r="AB993" s="293">
        <f t="shared" si="435"/>
        <v>1861001.14</v>
      </c>
      <c r="AC993" s="800"/>
      <c r="AD993" s="231">
        <v>2024</v>
      </c>
      <c r="AE993" s="231">
        <v>2025</v>
      </c>
      <c r="AF993" s="261"/>
      <c r="AG993" s="271"/>
    </row>
    <row r="994" spans="1:33" ht="24" customHeight="1">
      <c r="A994" s="231">
        <f t="shared" si="433"/>
        <v>559</v>
      </c>
      <c r="B994" s="249" t="s">
        <v>562</v>
      </c>
      <c r="C994" s="291">
        <f t="shared" si="434"/>
        <v>1861001.14</v>
      </c>
      <c r="D994" s="293"/>
      <c r="E994" s="403">
        <v>1</v>
      </c>
      <c r="F994" s="293">
        <v>1612809</v>
      </c>
      <c r="G994" s="296"/>
      <c r="H994" s="293"/>
      <c r="I994" s="293"/>
      <c r="J994" s="293"/>
      <c r="K994" s="293"/>
      <c r="L994" s="296"/>
      <c r="M994" s="296"/>
      <c r="N994" s="296"/>
      <c r="O994" s="296"/>
      <c r="P994" s="293"/>
      <c r="Q994" s="293"/>
      <c r="R994" s="293"/>
      <c r="S994" s="293"/>
      <c r="T994" s="293"/>
      <c r="U994" s="293"/>
      <c r="V994" s="294">
        <v>224000</v>
      </c>
      <c r="W994" s="230">
        <v>24192.14</v>
      </c>
      <c r="X994" s="293"/>
      <c r="Y994" s="293"/>
      <c r="Z994" s="293"/>
      <c r="AA994" s="293"/>
      <c r="AB994" s="293">
        <f t="shared" si="435"/>
        <v>1861001.14</v>
      </c>
      <c r="AC994" s="800"/>
      <c r="AD994" s="231">
        <v>2024</v>
      </c>
      <c r="AE994" s="231">
        <v>2025</v>
      </c>
      <c r="AF994" s="261"/>
      <c r="AG994" s="271"/>
    </row>
    <row r="995" spans="1:33" ht="24" customHeight="1">
      <c r="A995" s="231">
        <f t="shared" si="433"/>
        <v>560</v>
      </c>
      <c r="B995" s="249" t="s">
        <v>563</v>
      </c>
      <c r="C995" s="291">
        <f t="shared" si="434"/>
        <v>1861001.14</v>
      </c>
      <c r="D995" s="293"/>
      <c r="E995" s="403">
        <v>1</v>
      </c>
      <c r="F995" s="293">
        <v>1612809</v>
      </c>
      <c r="G995" s="296"/>
      <c r="H995" s="293"/>
      <c r="I995" s="293"/>
      <c r="J995" s="293"/>
      <c r="K995" s="293"/>
      <c r="L995" s="296"/>
      <c r="M995" s="296"/>
      <c r="N995" s="296"/>
      <c r="O995" s="296"/>
      <c r="P995" s="293"/>
      <c r="Q995" s="293"/>
      <c r="R995" s="293"/>
      <c r="S995" s="293"/>
      <c r="T995" s="293"/>
      <c r="U995" s="293"/>
      <c r="V995" s="294">
        <v>224000</v>
      </c>
      <c r="W995" s="230">
        <v>24192.14</v>
      </c>
      <c r="X995" s="293"/>
      <c r="Y995" s="293"/>
      <c r="Z995" s="293"/>
      <c r="AA995" s="293"/>
      <c r="AB995" s="293">
        <f t="shared" si="435"/>
        <v>1861001.14</v>
      </c>
      <c r="AC995" s="800"/>
      <c r="AD995" s="231">
        <v>2024</v>
      </c>
      <c r="AE995" s="231">
        <v>2025</v>
      </c>
      <c r="AF995" s="261"/>
      <c r="AG995" s="271"/>
    </row>
    <row r="996" spans="1:33" ht="24" customHeight="1">
      <c r="A996" s="231">
        <f t="shared" si="433"/>
        <v>561</v>
      </c>
      <c r="B996" s="249" t="s">
        <v>564</v>
      </c>
      <c r="C996" s="291">
        <f t="shared" si="434"/>
        <v>1861001.14</v>
      </c>
      <c r="D996" s="293"/>
      <c r="E996" s="403">
        <v>1</v>
      </c>
      <c r="F996" s="293">
        <v>1612809</v>
      </c>
      <c r="G996" s="296"/>
      <c r="H996" s="293"/>
      <c r="I996" s="293"/>
      <c r="J996" s="293"/>
      <c r="K996" s="293"/>
      <c r="L996" s="296"/>
      <c r="M996" s="296"/>
      <c r="N996" s="296"/>
      <c r="O996" s="296"/>
      <c r="P996" s="293"/>
      <c r="Q996" s="293"/>
      <c r="R996" s="293"/>
      <c r="S996" s="293"/>
      <c r="T996" s="293"/>
      <c r="U996" s="293"/>
      <c r="V996" s="294">
        <v>224000</v>
      </c>
      <c r="W996" s="230">
        <v>24192.14</v>
      </c>
      <c r="X996" s="293"/>
      <c r="Y996" s="293"/>
      <c r="Z996" s="293"/>
      <c r="AA996" s="293"/>
      <c r="AB996" s="293">
        <f t="shared" si="435"/>
        <v>1861001.14</v>
      </c>
      <c r="AC996" s="800"/>
      <c r="AD996" s="231">
        <v>2024</v>
      </c>
      <c r="AE996" s="231">
        <v>2025</v>
      </c>
      <c r="AF996" s="261"/>
      <c r="AG996" s="271"/>
    </row>
    <row r="997" spans="1:33" ht="24" customHeight="1">
      <c r="A997" s="231">
        <f t="shared" si="433"/>
        <v>562</v>
      </c>
      <c r="B997" s="249" t="s">
        <v>552</v>
      </c>
      <c r="C997" s="291">
        <f>D997+F997+G997+H997+I997+K997+L997+M997+O997+P997+Q997+R997+S997+W997+V997+X997</f>
        <v>19362072.940000001</v>
      </c>
      <c r="D997" s="293"/>
      <c r="E997" s="293"/>
      <c r="F997" s="293"/>
      <c r="G997" s="296"/>
      <c r="H997" s="293"/>
      <c r="I997" s="293"/>
      <c r="J997" s="293"/>
      <c r="K997" s="293"/>
      <c r="L997" s="296"/>
      <c r="M997" s="296"/>
      <c r="N997" s="296"/>
      <c r="O997" s="296"/>
      <c r="P997" s="293">
        <v>14228619.789999999</v>
      </c>
      <c r="Q997" s="293"/>
      <c r="R997" s="293"/>
      <c r="S997" s="293">
        <v>3951730.39</v>
      </c>
      <c r="T997" s="293"/>
      <c r="U997" s="293"/>
      <c r="V997" s="293">
        <v>909017.51</v>
      </c>
      <c r="W997" s="293">
        <v>272705.25</v>
      </c>
      <c r="X997" s="293"/>
      <c r="Y997" s="293"/>
      <c r="Z997" s="293"/>
      <c r="AA997" s="293"/>
      <c r="AB997" s="293">
        <f>C997</f>
        <v>19362072.940000001</v>
      </c>
      <c r="AC997" s="800"/>
      <c r="AD997" s="231">
        <v>2024</v>
      </c>
      <c r="AE997" s="231">
        <v>2025</v>
      </c>
      <c r="AF997" s="261"/>
      <c r="AG997" s="271"/>
    </row>
    <row r="998" spans="1:33" s="26" customFormat="1" ht="24" customHeight="1">
      <c r="A998" s="231">
        <f t="shared" si="433"/>
        <v>563</v>
      </c>
      <c r="B998" s="249" t="s">
        <v>383</v>
      </c>
      <c r="C998" s="232">
        <f>D998+F998+G998+H998+I998+K998+L998+M998+O998+P998+Q998+R998+S998+W998+V998+X998</f>
        <v>9926604.2799999993</v>
      </c>
      <c r="D998" s="228">
        <f>ROUND(2037.7*643.1,2)</f>
        <v>1310444.8700000001</v>
      </c>
      <c r="E998" s="228"/>
      <c r="F998" s="228"/>
      <c r="G998" s="182">
        <f>ROUND(2037.7*650.2,2)</f>
        <v>1324912.54</v>
      </c>
      <c r="H998" s="234"/>
      <c r="I998" s="234"/>
      <c r="J998" s="229"/>
      <c r="K998" s="228"/>
      <c r="L998" s="182"/>
      <c r="M998" s="185"/>
      <c r="N998" s="185"/>
      <c r="O998" s="185"/>
      <c r="P998" s="228"/>
      <c r="Q998" s="228"/>
      <c r="R998" s="228">
        <f>ROUND(2037.7*3170.13,2)</f>
        <v>6459773.9000000004</v>
      </c>
      <c r="S998" s="234"/>
      <c r="T998" s="234"/>
      <c r="U998" s="234"/>
      <c r="V998" s="268">
        <v>695046</v>
      </c>
      <c r="W998" s="230">
        <v>136426.97</v>
      </c>
      <c r="X998" s="229"/>
      <c r="Y998" s="229"/>
      <c r="Z998" s="229"/>
      <c r="AA998" s="229"/>
      <c r="AB998" s="230">
        <f>C998</f>
        <v>9926604.2799999993</v>
      </c>
      <c r="AC998" s="231"/>
      <c r="AD998" s="231">
        <v>2024</v>
      </c>
      <c r="AE998" s="231">
        <v>2025</v>
      </c>
      <c r="AF998" s="25"/>
      <c r="AG998" s="91"/>
    </row>
    <row r="999" spans="1:33" s="148" customFormat="1" ht="24" customHeight="1">
      <c r="A999" s="883" t="s">
        <v>180</v>
      </c>
      <c r="B999" s="883"/>
      <c r="C999" s="16">
        <f t="shared" ref="C999:AC999" si="436">SUM(C979:C998)</f>
        <v>237784884.94</v>
      </c>
      <c r="D999" s="16">
        <f t="shared" si="436"/>
        <v>1310444.8700000001</v>
      </c>
      <c r="E999" s="396">
        <f t="shared" si="436"/>
        <v>12</v>
      </c>
      <c r="F999" s="16">
        <f t="shared" si="436"/>
        <v>19353708</v>
      </c>
      <c r="G999" s="16">
        <f t="shared" si="436"/>
        <v>1324912.54</v>
      </c>
      <c r="H999" s="16">
        <f t="shared" si="436"/>
        <v>0</v>
      </c>
      <c r="I999" s="16">
        <f t="shared" si="436"/>
        <v>0</v>
      </c>
      <c r="J999" s="16">
        <f t="shared" si="436"/>
        <v>0</v>
      </c>
      <c r="K999" s="16">
        <f t="shared" si="436"/>
        <v>0</v>
      </c>
      <c r="L999" s="16">
        <f t="shared" si="436"/>
        <v>0</v>
      </c>
      <c r="M999" s="16">
        <f t="shared" si="436"/>
        <v>0</v>
      </c>
      <c r="N999" s="16">
        <f t="shared" si="436"/>
        <v>0</v>
      </c>
      <c r="O999" s="16">
        <f t="shared" si="436"/>
        <v>0</v>
      </c>
      <c r="P999" s="16">
        <f t="shared" si="436"/>
        <v>82052204.329999998</v>
      </c>
      <c r="Q999" s="16">
        <f t="shared" si="436"/>
        <v>0</v>
      </c>
      <c r="R999" s="16">
        <f t="shared" si="436"/>
        <v>113778712.81999999</v>
      </c>
      <c r="S999" s="16">
        <f t="shared" si="436"/>
        <v>3951730.39</v>
      </c>
      <c r="T999" s="16">
        <f t="shared" si="436"/>
        <v>0</v>
      </c>
      <c r="U999" s="16">
        <f t="shared" si="436"/>
        <v>0</v>
      </c>
      <c r="V999" s="16">
        <f t="shared" si="436"/>
        <v>13667374.720000001</v>
      </c>
      <c r="W999" s="16">
        <f t="shared" si="436"/>
        <v>2345797.27</v>
      </c>
      <c r="X999" s="16">
        <f t="shared" si="436"/>
        <v>0</v>
      </c>
      <c r="Y999" s="16">
        <f t="shared" si="436"/>
        <v>112624729.8</v>
      </c>
      <c r="Z999" s="16">
        <f t="shared" si="436"/>
        <v>48063292.159999996</v>
      </c>
      <c r="AA999" s="16">
        <f t="shared" si="436"/>
        <v>0</v>
      </c>
      <c r="AB999" s="16">
        <f t="shared" si="436"/>
        <v>77096862.980000004</v>
      </c>
      <c r="AC999" s="16">
        <f t="shared" si="436"/>
        <v>0</v>
      </c>
      <c r="AD999" s="798" t="s">
        <v>29</v>
      </c>
      <c r="AE999" s="798" t="s">
        <v>29</v>
      </c>
      <c r="AF999" s="146"/>
      <c r="AG999" s="147"/>
    </row>
    <row r="1000" spans="1:33" s="148" customFormat="1" ht="24" customHeight="1">
      <c r="A1000" s="885" t="s">
        <v>1283</v>
      </c>
      <c r="B1000" s="886"/>
      <c r="C1000" s="886"/>
      <c r="D1000" s="886"/>
      <c r="E1000" s="886"/>
      <c r="F1000" s="886"/>
      <c r="G1000" s="886"/>
      <c r="H1000" s="886"/>
      <c r="I1000" s="886"/>
      <c r="J1000" s="886"/>
      <c r="K1000" s="886"/>
      <c r="L1000" s="886"/>
      <c r="M1000" s="886"/>
      <c r="N1000" s="886"/>
      <c r="O1000" s="886"/>
      <c r="P1000" s="886"/>
      <c r="Q1000" s="886"/>
      <c r="R1000" s="886"/>
      <c r="S1000" s="886"/>
      <c r="T1000" s="886"/>
      <c r="U1000" s="886"/>
      <c r="V1000" s="886"/>
      <c r="W1000" s="886"/>
      <c r="X1000" s="886"/>
      <c r="Y1000" s="886"/>
      <c r="Z1000" s="886"/>
      <c r="AA1000" s="886"/>
      <c r="AB1000" s="886"/>
      <c r="AC1000" s="886"/>
      <c r="AD1000" s="886"/>
      <c r="AE1000" s="887"/>
      <c r="AF1000" s="146"/>
      <c r="AG1000" s="147"/>
    </row>
    <row r="1001" spans="1:33" s="148" customFormat="1" ht="24" customHeight="1">
      <c r="A1001" s="885" t="s">
        <v>1284</v>
      </c>
      <c r="B1001" s="913"/>
      <c r="C1001" s="913"/>
      <c r="D1001" s="913"/>
      <c r="E1001" s="913"/>
      <c r="F1001" s="913"/>
      <c r="G1001" s="913"/>
      <c r="H1001" s="913"/>
      <c r="I1001" s="913"/>
      <c r="J1001" s="913"/>
      <c r="K1001" s="913"/>
      <c r="L1001" s="913"/>
      <c r="M1001" s="913"/>
      <c r="N1001" s="913"/>
      <c r="O1001" s="913"/>
      <c r="P1001" s="913"/>
      <c r="Q1001" s="913"/>
      <c r="R1001" s="913"/>
      <c r="S1001" s="913"/>
      <c r="T1001" s="913"/>
      <c r="U1001" s="913"/>
      <c r="V1001" s="913"/>
      <c r="W1001" s="913"/>
      <c r="X1001" s="913"/>
      <c r="Y1001" s="913"/>
      <c r="Z1001" s="913"/>
      <c r="AA1001" s="913"/>
      <c r="AB1001" s="913"/>
      <c r="AC1001" s="913"/>
      <c r="AD1001" s="913"/>
      <c r="AE1001" s="914"/>
      <c r="AF1001" s="146"/>
      <c r="AG1001" s="147"/>
    </row>
    <row r="1002" spans="1:33" s="148" customFormat="1" ht="24" customHeight="1">
      <c r="A1002" s="231">
        <f>A998+1</f>
        <v>564</v>
      </c>
      <c r="B1002" s="229" t="s">
        <v>750</v>
      </c>
      <c r="C1002" s="291">
        <f t="shared" ref="C1002:C1004" si="437">D1002+F1002+G1002+H1002+I1002+K1002+L1002+M1002+O1002+P1002+Q1002+R1002+S1002+W1002+V1002+X1002</f>
        <v>42817262.740000002</v>
      </c>
      <c r="D1002" s="376"/>
      <c r="E1002" s="376"/>
      <c r="F1002" s="376"/>
      <c r="G1002" s="376"/>
      <c r="H1002" s="376"/>
      <c r="I1002" s="376"/>
      <c r="J1002" s="376"/>
      <c r="K1002" s="376"/>
      <c r="L1002" s="376"/>
      <c r="M1002" s="376"/>
      <c r="N1002" s="376"/>
      <c r="O1002" s="376"/>
      <c r="P1002" s="238">
        <v>11564805.24</v>
      </c>
      <c r="Q1002" s="377"/>
      <c r="R1002" s="238">
        <v>28582208.07</v>
      </c>
      <c r="S1002" s="376"/>
      <c r="T1002" s="376"/>
      <c r="U1002" s="376"/>
      <c r="V1002" s="238">
        <v>2293172.7400000002</v>
      </c>
      <c r="W1002" s="238">
        <v>377076.69</v>
      </c>
      <c r="X1002" s="376"/>
      <c r="Y1002" s="230">
        <f>C1002*71%</f>
        <v>30400256.550000001</v>
      </c>
      <c r="Z1002" s="230">
        <f>C1002*29%</f>
        <v>12417006.189999999</v>
      </c>
      <c r="AA1002" s="376"/>
      <c r="AB1002" s="230"/>
      <c r="AC1002" s="376"/>
      <c r="AD1002" s="231">
        <v>2024</v>
      </c>
      <c r="AE1002" s="231">
        <v>2024</v>
      </c>
      <c r="AF1002" s="146"/>
      <c r="AG1002" s="262"/>
    </row>
    <row r="1003" spans="1:33" s="148" customFormat="1" ht="24" customHeight="1">
      <c r="A1003" s="231">
        <f>A1002+1</f>
        <v>565</v>
      </c>
      <c r="B1003" s="229" t="s">
        <v>751</v>
      </c>
      <c r="C1003" s="291">
        <f t="shared" si="437"/>
        <v>46212297.640000001</v>
      </c>
      <c r="D1003" s="376"/>
      <c r="E1003" s="376"/>
      <c r="F1003" s="376"/>
      <c r="G1003" s="376"/>
      <c r="H1003" s="376"/>
      <c r="I1003" s="376"/>
      <c r="J1003" s="376"/>
      <c r="K1003" s="376"/>
      <c r="L1003" s="376"/>
      <c r="M1003" s="376"/>
      <c r="N1003" s="376"/>
      <c r="O1003" s="376"/>
      <c r="P1003" s="394">
        <v>12481793.27</v>
      </c>
      <c r="Q1003" s="377"/>
      <c r="R1003" s="238">
        <v>30848527.489999998</v>
      </c>
      <c r="S1003" s="376"/>
      <c r="T1003" s="376"/>
      <c r="U1003" s="376"/>
      <c r="V1003" s="238">
        <v>2475001.31</v>
      </c>
      <c r="W1003" s="238">
        <v>406975.57</v>
      </c>
      <c r="X1003" s="376"/>
      <c r="Y1003" s="230">
        <f>C1003*71%</f>
        <v>32810731.32</v>
      </c>
      <c r="Z1003" s="230">
        <f>C1003*29%</f>
        <v>13401566.32</v>
      </c>
      <c r="AA1003" s="376"/>
      <c r="AB1003" s="230"/>
      <c r="AC1003" s="376"/>
      <c r="AD1003" s="231">
        <v>2024</v>
      </c>
      <c r="AE1003" s="231">
        <v>2024</v>
      </c>
      <c r="AF1003" s="146"/>
      <c r="AG1003" s="262"/>
    </row>
    <row r="1004" spans="1:33" s="148" customFormat="1" ht="24" customHeight="1">
      <c r="A1004" s="231">
        <f>A1003+1</f>
        <v>566</v>
      </c>
      <c r="B1004" s="229" t="s">
        <v>752</v>
      </c>
      <c r="C1004" s="291">
        <f t="shared" si="437"/>
        <v>46371370.380000003</v>
      </c>
      <c r="D1004" s="376"/>
      <c r="E1004" s="376"/>
      <c r="F1004" s="376"/>
      <c r="G1004" s="376"/>
      <c r="H1004" s="376"/>
      <c r="I1004" s="376"/>
      <c r="J1004" s="376"/>
      <c r="K1004" s="376"/>
      <c r="L1004" s="376"/>
      <c r="M1004" s="376"/>
      <c r="N1004" s="376"/>
      <c r="O1004" s="376"/>
      <c r="P1004" s="238">
        <v>14615722.1</v>
      </c>
      <c r="Q1004" s="377"/>
      <c r="R1004" s="238">
        <v>28897995.370000001</v>
      </c>
      <c r="S1004" s="376"/>
      <c r="T1004" s="376"/>
      <c r="U1004" s="376"/>
      <c r="V1004" s="238">
        <v>2610823.06</v>
      </c>
      <c r="W1004" s="238">
        <v>246829.85</v>
      </c>
      <c r="X1004" s="376"/>
      <c r="Y1004" s="230">
        <f>C1004*71%</f>
        <v>32923672.969999999</v>
      </c>
      <c r="Z1004" s="230">
        <f>C1004*29%</f>
        <v>13447697.41</v>
      </c>
      <c r="AA1004" s="376"/>
      <c r="AB1004" s="230"/>
      <c r="AC1004" s="376"/>
      <c r="AD1004" s="231">
        <v>2024</v>
      </c>
      <c r="AE1004" s="231">
        <v>2024</v>
      </c>
      <c r="AF1004" s="147"/>
      <c r="AG1004" s="262"/>
    </row>
    <row r="1005" spans="1:33" s="148" customFormat="1" ht="24" customHeight="1">
      <c r="A1005" s="930" t="s">
        <v>180</v>
      </c>
      <c r="B1005" s="930"/>
      <c r="C1005" s="153">
        <f>SUM(C1002:C1004)</f>
        <v>135400930.75999999</v>
      </c>
      <c r="D1005" s="153">
        <f t="shared" ref="D1005:AC1005" si="438">SUM(D1002:D1004)</f>
        <v>0</v>
      </c>
      <c r="E1005" s="153">
        <f t="shared" si="438"/>
        <v>0</v>
      </c>
      <c r="F1005" s="153">
        <f t="shared" si="438"/>
        <v>0</v>
      </c>
      <c r="G1005" s="153">
        <f t="shared" si="438"/>
        <v>0</v>
      </c>
      <c r="H1005" s="153">
        <f t="shared" si="438"/>
        <v>0</v>
      </c>
      <c r="I1005" s="153">
        <f t="shared" si="438"/>
        <v>0</v>
      </c>
      <c r="J1005" s="153">
        <f t="shared" si="438"/>
        <v>0</v>
      </c>
      <c r="K1005" s="153">
        <f t="shared" si="438"/>
        <v>0</v>
      </c>
      <c r="L1005" s="153">
        <f t="shared" si="438"/>
        <v>0</v>
      </c>
      <c r="M1005" s="153">
        <f t="shared" si="438"/>
        <v>0</v>
      </c>
      <c r="N1005" s="153">
        <f t="shared" si="438"/>
        <v>0</v>
      </c>
      <c r="O1005" s="153">
        <f t="shared" si="438"/>
        <v>0</v>
      </c>
      <c r="P1005" s="153">
        <f t="shared" si="438"/>
        <v>38662320.609999999</v>
      </c>
      <c r="Q1005" s="153">
        <f t="shared" si="438"/>
        <v>0</v>
      </c>
      <c r="R1005" s="153">
        <f t="shared" si="438"/>
        <v>88328730.930000007</v>
      </c>
      <c r="S1005" s="153">
        <f t="shared" si="438"/>
        <v>0</v>
      </c>
      <c r="T1005" s="153">
        <f t="shared" si="438"/>
        <v>0</v>
      </c>
      <c r="U1005" s="153">
        <f t="shared" si="438"/>
        <v>0</v>
      </c>
      <c r="V1005" s="153">
        <f t="shared" si="438"/>
        <v>7378997.1100000003</v>
      </c>
      <c r="W1005" s="153">
        <f t="shared" si="438"/>
        <v>1030882.11</v>
      </c>
      <c r="X1005" s="153">
        <f t="shared" si="438"/>
        <v>0</v>
      </c>
      <c r="Y1005" s="153">
        <f t="shared" si="438"/>
        <v>96134660.840000004</v>
      </c>
      <c r="Z1005" s="153">
        <f t="shared" si="438"/>
        <v>39266269.920000002</v>
      </c>
      <c r="AA1005" s="153">
        <f t="shared" si="438"/>
        <v>0</v>
      </c>
      <c r="AB1005" s="153">
        <f t="shared" si="438"/>
        <v>0</v>
      </c>
      <c r="AC1005" s="153">
        <f t="shared" si="438"/>
        <v>0</v>
      </c>
      <c r="AD1005" s="798" t="s">
        <v>29</v>
      </c>
      <c r="AE1005" s="798" t="s">
        <v>29</v>
      </c>
      <c r="AF1005" s="146"/>
      <c r="AG1005" s="147"/>
    </row>
    <row r="1006" spans="1:33" ht="24" customHeight="1">
      <c r="A1006" s="884" t="s">
        <v>1302</v>
      </c>
      <c r="B1006" s="884"/>
      <c r="C1006" s="884"/>
      <c r="D1006" s="884"/>
      <c r="E1006" s="884"/>
      <c r="F1006" s="884"/>
      <c r="G1006" s="884"/>
      <c r="H1006" s="884"/>
      <c r="I1006" s="884"/>
      <c r="J1006" s="884"/>
      <c r="K1006" s="884"/>
      <c r="L1006" s="884"/>
      <c r="M1006" s="884"/>
      <c r="N1006" s="884"/>
      <c r="O1006" s="884"/>
      <c r="P1006" s="884"/>
      <c r="Q1006" s="884"/>
      <c r="R1006" s="884"/>
      <c r="S1006" s="884"/>
      <c r="T1006" s="884"/>
      <c r="U1006" s="884"/>
      <c r="V1006" s="884"/>
      <c r="W1006" s="884"/>
      <c r="X1006" s="884"/>
      <c r="Y1006" s="884"/>
      <c r="Z1006" s="884"/>
      <c r="AA1006" s="884"/>
      <c r="AB1006" s="884"/>
      <c r="AC1006" s="884"/>
      <c r="AD1006" s="884"/>
      <c r="AE1006" s="884"/>
      <c r="AF1006" s="808"/>
      <c r="AG1006" s="806"/>
    </row>
    <row r="1007" spans="1:33" ht="24" customHeight="1">
      <c r="A1007" s="112">
        <f>A1004+1</f>
        <v>567</v>
      </c>
      <c r="B1007" s="55" t="s">
        <v>1278</v>
      </c>
      <c r="C1007" s="4">
        <f t="shared" ref="C1007:C1019" si="439">D1007+F1007+G1007+H1007+I1007+K1007+L1007+M1007+O1007+P1007+Q1007+R1007+S1007+W1007+V1007+X1007</f>
        <v>15679693.33</v>
      </c>
      <c r="D1007" s="796"/>
      <c r="E1007" s="796"/>
      <c r="F1007" s="796"/>
      <c r="G1007" s="795"/>
      <c r="H1007" s="796"/>
      <c r="I1007" s="796"/>
      <c r="J1007" s="796"/>
      <c r="K1007" s="796"/>
      <c r="L1007" s="795"/>
      <c r="M1007" s="807"/>
      <c r="N1007" s="807"/>
      <c r="O1007" s="807"/>
      <c r="P1007" s="86">
        <v>14722716.74</v>
      </c>
      <c r="Q1007" s="18"/>
      <c r="R1007" s="18"/>
      <c r="S1007" s="18"/>
      <c r="T1007" s="18"/>
      <c r="U1007" s="18"/>
      <c r="V1007" s="86">
        <v>736135.84</v>
      </c>
      <c r="W1007" s="86">
        <v>220840.75</v>
      </c>
      <c r="X1007" s="18"/>
      <c r="Y1007" s="18"/>
      <c r="Z1007" s="18"/>
      <c r="AA1007" s="18"/>
      <c r="AB1007" s="69">
        <f>C1007</f>
        <v>15679693.33</v>
      </c>
      <c r="AC1007" s="18"/>
      <c r="AD1007" s="112">
        <v>2024</v>
      </c>
      <c r="AE1007" s="112">
        <v>2025</v>
      </c>
      <c r="AF1007" s="808"/>
      <c r="AG1007" s="806"/>
    </row>
    <row r="1008" spans="1:33" ht="24" customHeight="1">
      <c r="A1008" s="585">
        <f t="shared" ref="A1008" si="440">A1007+1</f>
        <v>568</v>
      </c>
      <c r="B1008" s="840" t="s">
        <v>1279</v>
      </c>
      <c r="C1008" s="587">
        <f t="shared" si="439"/>
        <v>1856099.79</v>
      </c>
      <c r="D1008" s="834"/>
      <c r="E1008" s="403">
        <v>1</v>
      </c>
      <c r="F1008" s="841">
        <v>1607907.65</v>
      </c>
      <c r="G1008" s="605"/>
      <c r="H1008" s="834"/>
      <c r="I1008" s="834"/>
      <c r="J1008" s="834"/>
      <c r="K1008" s="834"/>
      <c r="L1008" s="605"/>
      <c r="M1008" s="606"/>
      <c r="N1008" s="606"/>
      <c r="O1008" s="606"/>
      <c r="P1008" s="589"/>
      <c r="Q1008" s="585"/>
      <c r="R1008" s="585"/>
      <c r="S1008" s="585"/>
      <c r="T1008" s="585"/>
      <c r="U1008" s="585"/>
      <c r="V1008" s="590">
        <v>224000</v>
      </c>
      <c r="W1008" s="584">
        <v>24192.14</v>
      </c>
      <c r="X1008" s="585"/>
      <c r="Y1008" s="585"/>
      <c r="Z1008" s="589">
        <f>C1008</f>
        <v>1856099.79</v>
      </c>
      <c r="AA1008" s="585"/>
      <c r="AB1008" s="589"/>
      <c r="AC1008" s="585"/>
      <c r="AD1008" s="585">
        <v>2024</v>
      </c>
      <c r="AE1008" s="585">
        <v>2025</v>
      </c>
      <c r="AF1008" s="839"/>
      <c r="AG1008" s="839"/>
    </row>
    <row r="1009" spans="1:33" ht="24" customHeight="1">
      <c r="A1009" s="112">
        <f t="shared" ref="A1009:A1019" si="441">A1008+1</f>
        <v>569</v>
      </c>
      <c r="B1009" s="55" t="s">
        <v>574</v>
      </c>
      <c r="C1009" s="4">
        <f t="shared" si="439"/>
        <v>12724198.17</v>
      </c>
      <c r="D1009" s="796"/>
      <c r="E1009" s="412"/>
      <c r="F1009" s="796"/>
      <c r="G1009" s="795"/>
      <c r="H1009" s="796"/>
      <c r="I1009" s="796"/>
      <c r="J1009" s="796"/>
      <c r="K1009" s="796"/>
      <c r="L1009" s="795"/>
      <c r="M1009" s="795"/>
      <c r="N1009" s="204"/>
      <c r="O1009" s="204"/>
      <c r="P1009" s="86">
        <v>11947603.91</v>
      </c>
      <c r="Q1009" s="87"/>
      <c r="R1009" s="87"/>
      <c r="S1009" s="87"/>
      <c r="T1009" s="87"/>
      <c r="U1009" s="87"/>
      <c r="V1009" s="86">
        <v>597380.19999999995</v>
      </c>
      <c r="W1009" s="87">
        <v>179214.06</v>
      </c>
      <c r="X1009" s="87"/>
      <c r="Y1009" s="87"/>
      <c r="Z1009" s="87"/>
      <c r="AA1009" s="87"/>
      <c r="AB1009" s="69">
        <f>C1009</f>
        <v>12724198.17</v>
      </c>
      <c r="AC1009" s="796"/>
      <c r="AD1009" s="112">
        <v>2024</v>
      </c>
      <c r="AE1009" s="112">
        <v>2025</v>
      </c>
      <c r="AF1009" s="808"/>
      <c r="AG1009" s="806"/>
    </row>
    <row r="1010" spans="1:33" ht="24" customHeight="1">
      <c r="A1010" s="231">
        <f t="shared" si="441"/>
        <v>570</v>
      </c>
      <c r="B1010" s="437" t="s">
        <v>165</v>
      </c>
      <c r="C1010" s="418">
        <f t="shared" si="439"/>
        <v>8917148.1300000008</v>
      </c>
      <c r="D1010" s="428"/>
      <c r="E1010" s="428"/>
      <c r="F1010" s="428"/>
      <c r="G1010" s="466"/>
      <c r="H1010" s="429"/>
      <c r="I1010" s="429"/>
      <c r="J1010" s="420"/>
      <c r="K1010" s="428"/>
      <c r="L1010" s="466"/>
      <c r="M1010" s="474"/>
      <c r="N1010" s="474"/>
      <c r="O1010" s="474"/>
      <c r="P1010" s="793">
        <v>8001060.6600000001</v>
      </c>
      <c r="Q1010" s="428"/>
      <c r="R1010" s="428">
        <v>799228.78</v>
      </c>
      <c r="S1010" s="429"/>
      <c r="T1010" s="429"/>
      <c r="U1010" s="429"/>
      <c r="V1010" s="417"/>
      <c r="W1010" s="417">
        <v>116858.69</v>
      </c>
      <c r="X1010" s="420"/>
      <c r="Y1010" s="420"/>
      <c r="Z1010" s="425">
        <f>C1010</f>
        <v>8917148.1300000008</v>
      </c>
      <c r="AA1010" s="420"/>
      <c r="AB1010" s="425"/>
      <c r="AC1010" s="426"/>
      <c r="AD1010" s="231">
        <v>2023</v>
      </c>
      <c r="AE1010" s="231">
        <v>2024</v>
      </c>
      <c r="AF1010" s="332"/>
      <c r="AG1010" s="332"/>
    </row>
    <row r="1011" spans="1:33" s="26" customFormat="1" ht="24" customHeight="1">
      <c r="A1011" s="112">
        <f t="shared" si="441"/>
        <v>571</v>
      </c>
      <c r="B1011" s="20" t="s">
        <v>243</v>
      </c>
      <c r="C1011" s="4">
        <f t="shared" si="439"/>
        <v>12298793.52</v>
      </c>
      <c r="D1011" s="9"/>
      <c r="E1011" s="397"/>
      <c r="F1011" s="9"/>
      <c r="G1011" s="12"/>
      <c r="H1011" s="13"/>
      <c r="I1011" s="13"/>
      <c r="J1011" s="21"/>
      <c r="K1011" s="9"/>
      <c r="L1011" s="12"/>
      <c r="M1011" s="22"/>
      <c r="N1011" s="22"/>
      <c r="O1011" s="22"/>
      <c r="P1011" s="725">
        <v>11269499.82</v>
      </c>
      <c r="Q1011" s="9"/>
      <c r="R1011" s="9"/>
      <c r="S1011" s="13"/>
      <c r="T1011" s="13"/>
      <c r="U1011" s="13"/>
      <c r="V1011" s="782">
        <v>860251.2</v>
      </c>
      <c r="W1011" s="86">
        <f>ROUND((D1011+F1011+G1011+H1011+I1011+K1011+L1011+M1011+O1011+P1011+Q1011+R1011+S1011)*1.5%,2)</f>
        <v>169042.5</v>
      </c>
      <c r="X1011" s="21"/>
      <c r="Y1011" s="21"/>
      <c r="Z1011" s="21"/>
      <c r="AA1011" s="21"/>
      <c r="AB1011" s="24">
        <f>C1011</f>
        <v>12298793.52</v>
      </c>
      <c r="AC1011" s="18"/>
      <c r="AD1011" s="18">
        <v>2024</v>
      </c>
      <c r="AE1011" s="18">
        <v>2025</v>
      </c>
      <c r="AF1011" s="25"/>
      <c r="AG1011" s="91"/>
    </row>
    <row r="1012" spans="1:33" s="26" customFormat="1" ht="24" customHeight="1">
      <c r="A1012" s="112">
        <f t="shared" si="441"/>
        <v>572</v>
      </c>
      <c r="B1012" s="20" t="s">
        <v>244</v>
      </c>
      <c r="C1012" s="4">
        <f t="shared" si="439"/>
        <v>10120585.109999999</v>
      </c>
      <c r="D1012" s="9"/>
      <c r="E1012" s="397"/>
      <c r="F1012" s="9"/>
      <c r="G1012" s="12"/>
      <c r="H1012" s="13"/>
      <c r="I1012" s="13"/>
      <c r="J1012" s="21"/>
      <c r="K1012" s="9"/>
      <c r="L1012" s="12"/>
      <c r="M1012" s="22"/>
      <c r="N1012" s="22"/>
      <c r="O1012" s="22"/>
      <c r="P1012" s="725"/>
      <c r="Q1012" s="9">
        <f>706.71*1647.6</f>
        <v>1164375.3999999999</v>
      </c>
      <c r="R1012" s="9">
        <f>3284.11*1647.6</f>
        <v>5410899.6399999997</v>
      </c>
      <c r="S1012" s="13">
        <f>1331.91*1647.6</f>
        <v>2194454.92</v>
      </c>
      <c r="T1012" s="13"/>
      <c r="U1012" s="13"/>
      <c r="V1012" s="782">
        <v>1219309.2</v>
      </c>
      <c r="W1012" s="86">
        <f t="shared" ref="W1012:W1015" si="442">ROUND((D1012+F1012+G1012+H1012+I1012+K1012+L1012+M1012+O1012+P1012+Q1012+R1012+S1012)*1.5%,2)</f>
        <v>131545.95000000001</v>
      </c>
      <c r="X1012" s="21"/>
      <c r="Y1012" s="21"/>
      <c r="Z1012" s="21"/>
      <c r="AA1012" s="21"/>
      <c r="AB1012" s="24">
        <f t="shared" ref="AB1012:AB1015" si="443">C1012</f>
        <v>10120585.109999999</v>
      </c>
      <c r="AC1012" s="18"/>
      <c r="AD1012" s="18">
        <v>2024</v>
      </c>
      <c r="AE1012" s="18">
        <v>2024</v>
      </c>
      <c r="AF1012" s="25"/>
      <c r="AG1012" s="91"/>
    </row>
    <row r="1013" spans="1:33" s="26" customFormat="1" ht="24" customHeight="1">
      <c r="A1013" s="112">
        <f t="shared" si="441"/>
        <v>573</v>
      </c>
      <c r="B1013" s="20" t="s">
        <v>245</v>
      </c>
      <c r="C1013" s="4">
        <f t="shared" si="439"/>
        <v>12152733.08</v>
      </c>
      <c r="D1013" s="9">
        <f>589.88*1438</f>
        <v>848247.44</v>
      </c>
      <c r="E1013" s="397"/>
      <c r="F1013" s="9"/>
      <c r="G1013" s="12">
        <f>596.38*1438</f>
        <v>857594.44</v>
      </c>
      <c r="H1013" s="13">
        <f>1074.75*1438</f>
        <v>1545490.5</v>
      </c>
      <c r="I1013" s="13">
        <f>4857.9*1438</f>
        <v>6985660.2000000002</v>
      </c>
      <c r="J1013" s="21"/>
      <c r="K1013" s="9"/>
      <c r="L1013" s="12">
        <f>616.25*1438</f>
        <v>886167.5</v>
      </c>
      <c r="M1013" s="22"/>
      <c r="N1013" s="22"/>
      <c r="O1013" s="22"/>
      <c r="P1013" s="725"/>
      <c r="Q1013" s="9"/>
      <c r="R1013" s="9"/>
      <c r="S1013" s="13"/>
      <c r="T1013" s="13"/>
      <c r="U1013" s="13"/>
      <c r="V1013" s="782">
        <v>862725.6</v>
      </c>
      <c r="W1013" s="86">
        <f t="shared" si="442"/>
        <v>166847.4</v>
      </c>
      <c r="X1013" s="21"/>
      <c r="Y1013" s="21"/>
      <c r="Z1013" s="21"/>
      <c r="AA1013" s="21"/>
      <c r="AB1013" s="24">
        <f t="shared" si="443"/>
        <v>12152733.08</v>
      </c>
      <c r="AC1013" s="18"/>
      <c r="AD1013" s="18">
        <v>2024</v>
      </c>
      <c r="AE1013" s="18">
        <v>2024</v>
      </c>
      <c r="AF1013" s="25"/>
      <c r="AG1013" s="91"/>
    </row>
    <row r="1014" spans="1:33" s="26" customFormat="1" ht="24" customHeight="1">
      <c r="A1014" s="112">
        <f t="shared" si="441"/>
        <v>574</v>
      </c>
      <c r="B1014" s="20" t="s">
        <v>246</v>
      </c>
      <c r="C1014" s="4">
        <f t="shared" si="439"/>
        <v>9721573.8699999992</v>
      </c>
      <c r="D1014" s="9"/>
      <c r="E1014" s="397"/>
      <c r="F1014" s="9"/>
      <c r="G1014" s="12"/>
      <c r="H1014" s="13"/>
      <c r="I1014" s="13"/>
      <c r="J1014" s="21"/>
      <c r="K1014" s="9"/>
      <c r="L1014" s="12"/>
      <c r="M1014" s="22"/>
      <c r="N1014" s="22"/>
      <c r="O1014" s="22"/>
      <c r="P1014" s="725">
        <v>8646514.9499999993</v>
      </c>
      <c r="Q1014" s="9"/>
      <c r="R1014" s="9"/>
      <c r="S1014" s="13"/>
      <c r="T1014" s="13"/>
      <c r="U1014" s="13"/>
      <c r="V1014" s="782">
        <v>945361.2</v>
      </c>
      <c r="W1014" s="86">
        <v>129697.72</v>
      </c>
      <c r="X1014" s="21"/>
      <c r="Y1014" s="21"/>
      <c r="Z1014" s="21"/>
      <c r="AA1014" s="21"/>
      <c r="AB1014" s="24">
        <f t="shared" si="443"/>
        <v>9721573.8699999992</v>
      </c>
      <c r="AC1014" s="18"/>
      <c r="AD1014" s="18">
        <v>2024</v>
      </c>
      <c r="AE1014" s="18">
        <v>2025</v>
      </c>
      <c r="AF1014" s="25"/>
      <c r="AG1014" s="91"/>
    </row>
    <row r="1015" spans="1:33" s="26" customFormat="1" ht="24" customHeight="1">
      <c r="A1015" s="112">
        <f t="shared" si="441"/>
        <v>575</v>
      </c>
      <c r="B1015" s="20" t="s">
        <v>247</v>
      </c>
      <c r="C1015" s="4">
        <f t="shared" si="439"/>
        <v>5037177.51</v>
      </c>
      <c r="D1015" s="9"/>
      <c r="E1015" s="397"/>
      <c r="F1015" s="9"/>
      <c r="G1015" s="12"/>
      <c r="H1015" s="13"/>
      <c r="I1015" s="13"/>
      <c r="J1015" s="21"/>
      <c r="K1015" s="9"/>
      <c r="L1015" s="12"/>
      <c r="M1015" s="22"/>
      <c r="N1015" s="22"/>
      <c r="O1015" s="22"/>
      <c r="P1015" s="725">
        <f>565*7909.01</f>
        <v>4468590.6500000004</v>
      </c>
      <c r="Q1015" s="9"/>
      <c r="R1015" s="9"/>
      <c r="S1015" s="13"/>
      <c r="T1015" s="13"/>
      <c r="U1015" s="13"/>
      <c r="V1015" s="750">
        <v>501558</v>
      </c>
      <c r="W1015" s="86">
        <f t="shared" si="442"/>
        <v>67028.86</v>
      </c>
      <c r="X1015" s="21"/>
      <c r="Y1015" s="21"/>
      <c r="Z1015" s="21"/>
      <c r="AA1015" s="21"/>
      <c r="AB1015" s="24">
        <f t="shared" si="443"/>
        <v>5037177.51</v>
      </c>
      <c r="AC1015" s="18"/>
      <c r="AD1015" s="18">
        <v>2024</v>
      </c>
      <c r="AE1015" s="18">
        <v>2024</v>
      </c>
      <c r="AF1015" s="25"/>
      <c r="AG1015" s="91"/>
    </row>
    <row r="1016" spans="1:33" s="26" customFormat="1" ht="24" customHeight="1">
      <c r="A1016" s="231">
        <f t="shared" si="441"/>
        <v>576</v>
      </c>
      <c r="B1016" s="435" t="s">
        <v>766</v>
      </c>
      <c r="C1016" s="418">
        <f t="shared" si="439"/>
        <v>6766944.4500000002</v>
      </c>
      <c r="D1016" s="428"/>
      <c r="E1016" s="428"/>
      <c r="F1016" s="428"/>
      <c r="G1016" s="466"/>
      <c r="H1016" s="429"/>
      <c r="I1016" s="429"/>
      <c r="J1016" s="420"/>
      <c r="K1016" s="428"/>
      <c r="L1016" s="466"/>
      <c r="M1016" s="474"/>
      <c r="N1016" s="474"/>
      <c r="O1016" s="474"/>
      <c r="P1016" s="511">
        <v>6451468.25</v>
      </c>
      <c r="Q1016" s="428"/>
      <c r="R1016" s="428"/>
      <c r="S1016" s="429"/>
      <c r="T1016" s="429"/>
      <c r="U1016" s="429"/>
      <c r="V1016" s="511">
        <v>315465.46999999997</v>
      </c>
      <c r="W1016" s="511">
        <v>10.73</v>
      </c>
      <c r="X1016" s="420"/>
      <c r="Y1016" s="420"/>
      <c r="Z1016" s="425">
        <f>C1016</f>
        <v>6766944.4500000002</v>
      </c>
      <c r="AA1016" s="420"/>
      <c r="AB1016" s="425"/>
      <c r="AC1016" s="426"/>
      <c r="AD1016" s="426">
        <v>2024</v>
      </c>
      <c r="AE1016" s="231">
        <v>2024</v>
      </c>
      <c r="AF1016" s="91"/>
      <c r="AG1016" s="91"/>
    </row>
    <row r="1017" spans="1:33" s="26" customFormat="1" ht="24" customHeight="1">
      <c r="A1017" s="112">
        <f t="shared" si="441"/>
        <v>577</v>
      </c>
      <c r="B1017" s="435" t="s">
        <v>575</v>
      </c>
      <c r="C1017" s="418">
        <f t="shared" si="439"/>
        <v>16216542.890000001</v>
      </c>
      <c r="D1017" s="428"/>
      <c r="E1017" s="428"/>
      <c r="F1017" s="428"/>
      <c r="G1017" s="466"/>
      <c r="H1017" s="429"/>
      <c r="I1017" s="429"/>
      <c r="J1017" s="420"/>
      <c r="K1017" s="428"/>
      <c r="L1017" s="466"/>
      <c r="M1017" s="474"/>
      <c r="N1017" s="474"/>
      <c r="O1017" s="474"/>
      <c r="P1017" s="563">
        <v>15226800.84</v>
      </c>
      <c r="Q1017" s="428"/>
      <c r="R1017" s="428"/>
      <c r="S1017" s="429"/>
      <c r="T1017" s="429"/>
      <c r="U1017" s="429"/>
      <c r="V1017" s="494">
        <v>761340.04</v>
      </c>
      <c r="W1017" s="735">
        <v>228402.01</v>
      </c>
      <c r="X1017" s="420"/>
      <c r="Y1017" s="420"/>
      <c r="Z1017" s="420"/>
      <c r="AA1017" s="420"/>
      <c r="AB1017" s="425">
        <f>C1017</f>
        <v>16216542.890000001</v>
      </c>
      <c r="AC1017" s="426"/>
      <c r="AD1017" s="426">
        <v>2024</v>
      </c>
      <c r="AE1017" s="112">
        <v>2025</v>
      </c>
      <c r="AF1017" s="25"/>
      <c r="AG1017" s="91"/>
    </row>
    <row r="1018" spans="1:33" s="26" customFormat="1" ht="24" customHeight="1">
      <c r="A1018" s="648">
        <f t="shared" si="441"/>
        <v>578</v>
      </c>
      <c r="B1018" s="665" t="s">
        <v>753</v>
      </c>
      <c r="C1018" s="649">
        <f t="shared" si="439"/>
        <v>59739470.829999998</v>
      </c>
      <c r="D1018" s="659">
        <v>3385703.36</v>
      </c>
      <c r="E1018" s="659"/>
      <c r="F1018" s="659"/>
      <c r="G1018" s="661">
        <v>2264568.02</v>
      </c>
      <c r="H1018" s="662">
        <v>2827505.2</v>
      </c>
      <c r="I1018" s="662">
        <v>12560468.27</v>
      </c>
      <c r="J1018" s="660"/>
      <c r="K1018" s="659"/>
      <c r="L1018" s="661">
        <v>5549855.7800000003</v>
      </c>
      <c r="M1018" s="663"/>
      <c r="N1018" s="663"/>
      <c r="O1018" s="663"/>
      <c r="P1018" s="658">
        <v>13043977.109999999</v>
      </c>
      <c r="Q1018" s="659">
        <v>2978185.36</v>
      </c>
      <c r="R1018" s="659">
        <v>13595140.85</v>
      </c>
      <c r="S1018" s="662"/>
      <c r="T1018" s="662"/>
      <c r="U1018" s="662"/>
      <c r="V1018" s="756">
        <v>3301323.8</v>
      </c>
      <c r="W1018" s="761">
        <v>232743.08</v>
      </c>
      <c r="X1018" s="660"/>
      <c r="Y1018" s="654">
        <f>C1018*71%</f>
        <v>42415024.289999999</v>
      </c>
      <c r="Z1018" s="654">
        <f>C1018*29%</f>
        <v>17324446.539999999</v>
      </c>
      <c r="AA1018" s="660"/>
      <c r="AB1018" s="654"/>
      <c r="AC1018" s="648"/>
      <c r="AD1018" s="648">
        <v>2024</v>
      </c>
      <c r="AE1018" s="648">
        <v>2024</v>
      </c>
      <c r="AF1018" s="25"/>
      <c r="AG1018" s="262"/>
    </row>
    <row r="1019" spans="1:33" s="26" customFormat="1" ht="24" customHeight="1">
      <c r="A1019" s="231">
        <f t="shared" si="441"/>
        <v>579</v>
      </c>
      <c r="B1019" s="249" t="s">
        <v>754</v>
      </c>
      <c r="C1019" s="232">
        <f t="shared" si="439"/>
        <v>75770484.120000005</v>
      </c>
      <c r="D1019" s="228">
        <v>2398541.86</v>
      </c>
      <c r="E1019" s="413"/>
      <c r="F1019" s="228"/>
      <c r="G1019" s="182">
        <v>3211042.33</v>
      </c>
      <c r="H1019" s="234">
        <v>2938075.64</v>
      </c>
      <c r="I1019" s="234">
        <v>15459517.43</v>
      </c>
      <c r="J1019" s="229"/>
      <c r="K1019" s="228"/>
      <c r="L1019" s="182">
        <v>5203568.09</v>
      </c>
      <c r="M1019" s="185"/>
      <c r="N1019" s="185"/>
      <c r="O1019" s="185"/>
      <c r="P1019" s="794">
        <v>13282370.789999999</v>
      </c>
      <c r="Q1019" s="228">
        <v>3137868.28</v>
      </c>
      <c r="R1019" s="228">
        <v>26261712.34</v>
      </c>
      <c r="S1019" s="234"/>
      <c r="T1019" s="234"/>
      <c r="U1019" s="234"/>
      <c r="V1019" s="292">
        <v>3594634.83</v>
      </c>
      <c r="W1019" s="309">
        <v>283152.53000000003</v>
      </c>
      <c r="X1019" s="229"/>
      <c r="Y1019" s="230">
        <f>C1019*71%</f>
        <v>53797043.729999997</v>
      </c>
      <c r="Z1019" s="230">
        <f>C1019*29%</f>
        <v>21973440.390000001</v>
      </c>
      <c r="AA1019" s="229"/>
      <c r="AB1019" s="230"/>
      <c r="AC1019" s="231"/>
      <c r="AD1019" s="231">
        <v>2024</v>
      </c>
      <c r="AE1019" s="231">
        <v>2024</v>
      </c>
      <c r="AF1019" s="25"/>
      <c r="AG1019" s="262"/>
    </row>
    <row r="1020" spans="1:33" s="148" customFormat="1" ht="24" customHeight="1">
      <c r="A1020" s="883" t="s">
        <v>180</v>
      </c>
      <c r="B1020" s="883"/>
      <c r="C1020" s="16">
        <f>SUM(C1007:C1019)</f>
        <v>247001444.80000001</v>
      </c>
      <c r="D1020" s="16">
        <f t="shared" ref="D1020:AC1020" si="444">SUM(D1007:D1019)</f>
        <v>6632492.6600000001</v>
      </c>
      <c r="E1020" s="396">
        <f t="shared" si="444"/>
        <v>1</v>
      </c>
      <c r="F1020" s="16">
        <f t="shared" si="444"/>
        <v>1607907.65</v>
      </c>
      <c r="G1020" s="16">
        <f t="shared" si="444"/>
        <v>6333204.79</v>
      </c>
      <c r="H1020" s="16">
        <f t="shared" si="444"/>
        <v>7311071.3399999999</v>
      </c>
      <c r="I1020" s="16">
        <f t="shared" si="444"/>
        <v>35005645.899999999</v>
      </c>
      <c r="J1020" s="16">
        <f t="shared" si="444"/>
        <v>0</v>
      </c>
      <c r="K1020" s="16">
        <f t="shared" si="444"/>
        <v>0</v>
      </c>
      <c r="L1020" s="16">
        <f t="shared" si="444"/>
        <v>11639591.369999999</v>
      </c>
      <c r="M1020" s="16">
        <f t="shared" si="444"/>
        <v>0</v>
      </c>
      <c r="N1020" s="16">
        <f t="shared" si="444"/>
        <v>0</v>
      </c>
      <c r="O1020" s="16">
        <f t="shared" si="444"/>
        <v>0</v>
      </c>
      <c r="P1020" s="770">
        <f t="shared" si="444"/>
        <v>107060603.72</v>
      </c>
      <c r="Q1020" s="16">
        <f t="shared" si="444"/>
        <v>7280429.04</v>
      </c>
      <c r="R1020" s="16">
        <f t="shared" si="444"/>
        <v>46066981.609999999</v>
      </c>
      <c r="S1020" s="16">
        <f t="shared" si="444"/>
        <v>2194454.92</v>
      </c>
      <c r="T1020" s="16">
        <f t="shared" si="444"/>
        <v>0</v>
      </c>
      <c r="U1020" s="16">
        <f t="shared" si="444"/>
        <v>0</v>
      </c>
      <c r="V1020" s="16">
        <f t="shared" si="444"/>
        <v>13919485.380000001</v>
      </c>
      <c r="W1020" s="16">
        <f t="shared" si="444"/>
        <v>1949576.42</v>
      </c>
      <c r="X1020" s="16">
        <f t="shared" si="444"/>
        <v>0</v>
      </c>
      <c r="Y1020" s="16">
        <f t="shared" si="444"/>
        <v>96212068.019999996</v>
      </c>
      <c r="Z1020" s="16">
        <f t="shared" si="444"/>
        <v>56838079.299999997</v>
      </c>
      <c r="AA1020" s="16">
        <f t="shared" si="444"/>
        <v>0</v>
      </c>
      <c r="AB1020" s="16">
        <f t="shared" si="444"/>
        <v>93951297.480000004</v>
      </c>
      <c r="AC1020" s="16">
        <f t="shared" si="444"/>
        <v>0</v>
      </c>
      <c r="AD1020" s="798" t="s">
        <v>29</v>
      </c>
      <c r="AE1020" s="798" t="s">
        <v>29</v>
      </c>
      <c r="AF1020" s="146"/>
      <c r="AG1020" s="147"/>
    </row>
    <row r="1021" spans="1:33" s="148" customFormat="1" ht="38.25" customHeight="1">
      <c r="A1021" s="890" t="s">
        <v>1303</v>
      </c>
      <c r="B1021" s="890"/>
      <c r="C1021" s="16">
        <f>C1020+C1005</f>
        <v>382402375.56</v>
      </c>
      <c r="D1021" s="16">
        <f t="shared" ref="D1021:AB1021" si="445">D1020+D1005</f>
        <v>6632492.6600000001</v>
      </c>
      <c r="E1021" s="396">
        <f t="shared" si="445"/>
        <v>1</v>
      </c>
      <c r="F1021" s="16">
        <f t="shared" si="445"/>
        <v>1607907.65</v>
      </c>
      <c r="G1021" s="16">
        <f t="shared" si="445"/>
        <v>6333204.79</v>
      </c>
      <c r="H1021" s="16">
        <f t="shared" si="445"/>
        <v>7311071.3399999999</v>
      </c>
      <c r="I1021" s="16">
        <f t="shared" si="445"/>
        <v>35005645.899999999</v>
      </c>
      <c r="J1021" s="16">
        <f t="shared" si="445"/>
        <v>0</v>
      </c>
      <c r="K1021" s="16">
        <f t="shared" si="445"/>
        <v>0</v>
      </c>
      <c r="L1021" s="16">
        <f t="shared" si="445"/>
        <v>11639591.369999999</v>
      </c>
      <c r="M1021" s="16">
        <f t="shared" si="445"/>
        <v>0</v>
      </c>
      <c r="N1021" s="16">
        <f t="shared" si="445"/>
        <v>0</v>
      </c>
      <c r="O1021" s="16">
        <f t="shared" si="445"/>
        <v>0</v>
      </c>
      <c r="P1021" s="16">
        <f t="shared" si="445"/>
        <v>145722924.33000001</v>
      </c>
      <c r="Q1021" s="16">
        <f t="shared" si="445"/>
        <v>7280429.04</v>
      </c>
      <c r="R1021" s="16">
        <f t="shared" si="445"/>
        <v>134395712.53999999</v>
      </c>
      <c r="S1021" s="16">
        <f t="shared" si="445"/>
        <v>2194454.92</v>
      </c>
      <c r="T1021" s="16">
        <f t="shared" si="445"/>
        <v>0</v>
      </c>
      <c r="U1021" s="16">
        <f t="shared" si="445"/>
        <v>0</v>
      </c>
      <c r="V1021" s="16">
        <f t="shared" si="445"/>
        <v>21298482.489999998</v>
      </c>
      <c r="W1021" s="16">
        <f t="shared" si="445"/>
        <v>2980458.53</v>
      </c>
      <c r="X1021" s="16">
        <f t="shared" si="445"/>
        <v>0</v>
      </c>
      <c r="Y1021" s="16">
        <f t="shared" si="445"/>
        <v>192346728.86000001</v>
      </c>
      <c r="Z1021" s="16">
        <f t="shared" si="445"/>
        <v>96104349.219999999</v>
      </c>
      <c r="AA1021" s="16">
        <f t="shared" si="445"/>
        <v>0</v>
      </c>
      <c r="AB1021" s="16">
        <f t="shared" si="445"/>
        <v>93951297.480000004</v>
      </c>
      <c r="AC1021" s="16">
        <f t="shared" ref="AC1021" si="446">AC1020</f>
        <v>0</v>
      </c>
      <c r="AD1021" s="798" t="s">
        <v>29</v>
      </c>
      <c r="AE1021" s="798" t="s">
        <v>29</v>
      </c>
      <c r="AF1021" s="146"/>
      <c r="AG1021" s="147"/>
    </row>
    <row r="1022" spans="1:33" s="148" customFormat="1" ht="24" customHeight="1">
      <c r="A1022" s="885" t="s">
        <v>1287</v>
      </c>
      <c r="B1022" s="886"/>
      <c r="C1022" s="886"/>
      <c r="D1022" s="886"/>
      <c r="E1022" s="886"/>
      <c r="F1022" s="886"/>
      <c r="G1022" s="886"/>
      <c r="H1022" s="886"/>
      <c r="I1022" s="886"/>
      <c r="J1022" s="886"/>
      <c r="K1022" s="886"/>
      <c r="L1022" s="886"/>
      <c r="M1022" s="886"/>
      <c r="N1022" s="886"/>
      <c r="O1022" s="886"/>
      <c r="P1022" s="886"/>
      <c r="Q1022" s="886"/>
      <c r="R1022" s="886"/>
      <c r="S1022" s="886"/>
      <c r="T1022" s="886"/>
      <c r="U1022" s="886"/>
      <c r="V1022" s="886"/>
      <c r="W1022" s="886"/>
      <c r="X1022" s="886"/>
      <c r="Y1022" s="886"/>
      <c r="Z1022" s="886"/>
      <c r="AA1022" s="886"/>
      <c r="AB1022" s="886"/>
      <c r="AC1022" s="886"/>
      <c r="AD1022" s="886"/>
      <c r="AE1022" s="887"/>
      <c r="AF1022" s="146"/>
      <c r="AG1022" s="147"/>
    </row>
    <row r="1023" spans="1:33" ht="24" customHeight="1">
      <c r="A1023" s="884" t="s">
        <v>1288</v>
      </c>
      <c r="B1023" s="884"/>
      <c r="C1023" s="884"/>
      <c r="D1023" s="884"/>
      <c r="E1023" s="884"/>
      <c r="F1023" s="884"/>
      <c r="G1023" s="884"/>
      <c r="H1023" s="884"/>
      <c r="I1023" s="884"/>
      <c r="J1023" s="884"/>
      <c r="K1023" s="884"/>
      <c r="L1023" s="884"/>
      <c r="M1023" s="884"/>
      <c r="N1023" s="884"/>
      <c r="O1023" s="884"/>
      <c r="P1023" s="884"/>
      <c r="Q1023" s="884"/>
      <c r="R1023" s="884"/>
      <c r="S1023" s="884"/>
      <c r="T1023" s="884"/>
      <c r="U1023" s="884"/>
      <c r="V1023" s="884"/>
      <c r="W1023" s="884"/>
      <c r="X1023" s="884"/>
      <c r="Y1023" s="884"/>
      <c r="Z1023" s="884"/>
      <c r="AA1023" s="884"/>
      <c r="AB1023" s="884"/>
      <c r="AC1023" s="884"/>
      <c r="AD1023" s="884"/>
      <c r="AE1023" s="884"/>
      <c r="AF1023" s="808"/>
      <c r="AG1023" s="806"/>
    </row>
    <row r="1024" spans="1:33" s="26" customFormat="1" ht="24" customHeight="1">
      <c r="A1024" s="18">
        <f>A1019+1</f>
        <v>580</v>
      </c>
      <c r="B1024" s="20" t="s">
        <v>166</v>
      </c>
      <c r="C1024" s="4">
        <v>27261395.5</v>
      </c>
      <c r="D1024" s="9"/>
      <c r="E1024" s="9"/>
      <c r="F1024" s="9"/>
      <c r="G1024" s="12"/>
      <c r="H1024" s="13"/>
      <c r="I1024" s="13"/>
      <c r="J1024" s="21"/>
      <c r="K1024" s="9"/>
      <c r="L1024" s="12"/>
      <c r="M1024" s="22"/>
      <c r="N1024" s="22"/>
      <c r="O1024" s="22"/>
      <c r="P1024" s="9"/>
      <c r="Q1024" s="9"/>
      <c r="R1024" s="9">
        <v>26858517.73</v>
      </c>
      <c r="S1024" s="13"/>
      <c r="T1024" s="110"/>
      <c r="U1024" s="110"/>
      <c r="V1024" s="24"/>
      <c r="W1024" s="24">
        <v>402877.77</v>
      </c>
      <c r="X1024" s="21"/>
      <c r="Y1024" s="21"/>
      <c r="Z1024" s="24">
        <v>27261395.5</v>
      </c>
      <c r="AA1024" s="21"/>
      <c r="AB1024" s="24">
        <v>0</v>
      </c>
      <c r="AC1024" s="18"/>
      <c r="AD1024" s="18">
        <v>2022</v>
      </c>
      <c r="AE1024" s="18">
        <v>2024</v>
      </c>
      <c r="AF1024" s="25"/>
      <c r="AG1024" s="91"/>
    </row>
    <row r="1025" spans="1:33" s="148" customFormat="1" ht="24" customHeight="1">
      <c r="A1025" s="883" t="s">
        <v>180</v>
      </c>
      <c r="B1025" s="883"/>
      <c r="C1025" s="16">
        <f>SUM(C1024)</f>
        <v>27261395.5</v>
      </c>
      <c r="D1025" s="16">
        <f t="shared" ref="D1025:AB1025" si="447">SUM(D1024)</f>
        <v>0</v>
      </c>
      <c r="E1025" s="16">
        <f t="shared" si="447"/>
        <v>0</v>
      </c>
      <c r="F1025" s="16">
        <f t="shared" si="447"/>
        <v>0</v>
      </c>
      <c r="G1025" s="16">
        <f t="shared" si="447"/>
        <v>0</v>
      </c>
      <c r="H1025" s="16">
        <f t="shared" si="447"/>
        <v>0</v>
      </c>
      <c r="I1025" s="16">
        <f t="shared" si="447"/>
        <v>0</v>
      </c>
      <c r="J1025" s="16">
        <f t="shared" si="447"/>
        <v>0</v>
      </c>
      <c r="K1025" s="16">
        <f t="shared" si="447"/>
        <v>0</v>
      </c>
      <c r="L1025" s="16">
        <f t="shared" si="447"/>
        <v>0</v>
      </c>
      <c r="M1025" s="16">
        <f t="shared" si="447"/>
        <v>0</v>
      </c>
      <c r="N1025" s="16">
        <f t="shared" si="447"/>
        <v>0</v>
      </c>
      <c r="O1025" s="16">
        <f t="shared" si="447"/>
        <v>0</v>
      </c>
      <c r="P1025" s="16">
        <f t="shared" si="447"/>
        <v>0</v>
      </c>
      <c r="Q1025" s="16">
        <f t="shared" si="447"/>
        <v>0</v>
      </c>
      <c r="R1025" s="16">
        <f t="shared" si="447"/>
        <v>26858517.73</v>
      </c>
      <c r="S1025" s="16">
        <f t="shared" si="447"/>
        <v>0</v>
      </c>
      <c r="T1025" s="141"/>
      <c r="U1025" s="141"/>
      <c r="V1025" s="16">
        <f t="shared" si="447"/>
        <v>0</v>
      </c>
      <c r="W1025" s="16">
        <f t="shared" si="447"/>
        <v>402877.77</v>
      </c>
      <c r="X1025" s="16">
        <f t="shared" si="447"/>
        <v>0</v>
      </c>
      <c r="Y1025" s="16">
        <f t="shared" si="447"/>
        <v>0</v>
      </c>
      <c r="Z1025" s="16">
        <f t="shared" si="447"/>
        <v>27261395.5</v>
      </c>
      <c r="AA1025" s="16">
        <f t="shared" si="447"/>
        <v>0</v>
      </c>
      <c r="AB1025" s="16">
        <f t="shared" si="447"/>
        <v>0</v>
      </c>
      <c r="AC1025" s="798"/>
      <c r="AD1025" s="798" t="s">
        <v>29</v>
      </c>
      <c r="AE1025" s="798" t="s">
        <v>29</v>
      </c>
      <c r="AF1025" s="146"/>
      <c r="AG1025" s="147"/>
    </row>
    <row r="1026" spans="1:33" ht="24" customHeight="1">
      <c r="A1026" s="884" t="s">
        <v>1304</v>
      </c>
      <c r="B1026" s="884"/>
      <c r="C1026" s="884"/>
      <c r="D1026" s="884"/>
      <c r="E1026" s="884"/>
      <c r="F1026" s="884"/>
      <c r="G1026" s="884"/>
      <c r="H1026" s="884"/>
      <c r="I1026" s="884"/>
      <c r="J1026" s="884"/>
      <c r="K1026" s="884"/>
      <c r="L1026" s="884"/>
      <c r="M1026" s="884"/>
      <c r="N1026" s="884"/>
      <c r="O1026" s="884"/>
      <c r="P1026" s="884"/>
      <c r="Q1026" s="884"/>
      <c r="R1026" s="884"/>
      <c r="S1026" s="884"/>
      <c r="T1026" s="884"/>
      <c r="U1026" s="884"/>
      <c r="V1026" s="884"/>
      <c r="W1026" s="884"/>
      <c r="X1026" s="884"/>
      <c r="Y1026" s="884"/>
      <c r="Z1026" s="884"/>
      <c r="AA1026" s="884"/>
      <c r="AB1026" s="884"/>
      <c r="AC1026" s="884"/>
      <c r="AD1026" s="884"/>
      <c r="AE1026" s="884"/>
      <c r="AF1026" s="808"/>
      <c r="AG1026" s="806"/>
    </row>
    <row r="1027" spans="1:33" ht="24" customHeight="1">
      <c r="A1027" s="112">
        <f>A1024+1</f>
        <v>581</v>
      </c>
      <c r="B1027" s="55" t="s">
        <v>991</v>
      </c>
      <c r="C1027" s="4">
        <f>D1027+F1027+G1027+H1027+I1027+K1027+L1027+M1027+O1027+P1027+Q1027+R1027+S1027+W1027+V1027+X1027</f>
        <v>19865427.489999998</v>
      </c>
      <c r="D1027" s="125"/>
      <c r="E1027" s="125"/>
      <c r="F1027" s="125"/>
      <c r="G1027" s="128">
        <v>330329.57</v>
      </c>
      <c r="H1027" s="125">
        <v>711797.28</v>
      </c>
      <c r="I1027" s="125">
        <v>3354021.1</v>
      </c>
      <c r="J1027" s="125"/>
      <c r="K1027" s="125"/>
      <c r="L1027" s="128">
        <v>799930.91</v>
      </c>
      <c r="M1027" s="128"/>
      <c r="N1027" s="128"/>
      <c r="O1027" s="128"/>
      <c r="P1027" s="125">
        <v>8843424.4399999995</v>
      </c>
      <c r="Q1027" s="125"/>
      <c r="R1027" s="125">
        <v>3701118.37</v>
      </c>
      <c r="S1027" s="125">
        <v>912361.89</v>
      </c>
      <c r="T1027" s="125"/>
      <c r="U1027" s="125"/>
      <c r="V1027" s="125">
        <v>932649.18</v>
      </c>
      <c r="W1027" s="24">
        <f t="shared" ref="W1027:W1028" si="448">ROUND((D1027+F1027+G1027+H1027+I1027+K1027+L1027+M1027+O1027+P1027+Q1027+R1027+S1027)*1.5%,2)</f>
        <v>279794.75</v>
      </c>
      <c r="X1027" s="125"/>
      <c r="Y1027" s="125"/>
      <c r="Z1027" s="125"/>
      <c r="AA1027" s="125"/>
      <c r="AB1027" s="24">
        <f>C1027</f>
        <v>19865427.489999998</v>
      </c>
      <c r="AC1027" s="125"/>
      <c r="AD1027" s="112">
        <v>2024</v>
      </c>
      <c r="AE1027" s="112">
        <v>2025</v>
      </c>
      <c r="AF1027" s="808"/>
      <c r="AG1027" s="806"/>
    </row>
    <row r="1028" spans="1:33" ht="24" customHeight="1">
      <c r="A1028" s="112">
        <f>A1027+1</f>
        <v>582</v>
      </c>
      <c r="B1028" s="55" t="s">
        <v>992</v>
      </c>
      <c r="C1028" s="4">
        <f>D1028+F1028+G1028+H1028+I1028+K1028+L1028+M1028+O1028+P1028+Q1028+R1028+S1028+W1028+V1028+X1028</f>
        <v>20622954.719999999</v>
      </c>
      <c r="D1028" s="125"/>
      <c r="E1028" s="125"/>
      <c r="F1028" s="125"/>
      <c r="G1028" s="128">
        <v>342926.01</v>
      </c>
      <c r="H1028" s="125">
        <v>738940.2</v>
      </c>
      <c r="I1028" s="125">
        <v>3481919.8</v>
      </c>
      <c r="J1028" s="125"/>
      <c r="K1028" s="125"/>
      <c r="L1028" s="128">
        <v>830434.63</v>
      </c>
      <c r="M1028" s="128"/>
      <c r="N1028" s="128"/>
      <c r="O1028" s="128"/>
      <c r="P1028" s="125">
        <v>9180650.25</v>
      </c>
      <c r="Q1028" s="125"/>
      <c r="R1028" s="125">
        <v>3842252.91</v>
      </c>
      <c r="S1028" s="125">
        <v>947152.93</v>
      </c>
      <c r="T1028" s="125"/>
      <c r="U1028" s="125"/>
      <c r="V1028" s="125">
        <v>968213.84</v>
      </c>
      <c r="W1028" s="24">
        <f t="shared" si="448"/>
        <v>290464.15000000002</v>
      </c>
      <c r="X1028" s="125"/>
      <c r="Y1028" s="125"/>
      <c r="Z1028" s="125"/>
      <c r="AA1028" s="125"/>
      <c r="AB1028" s="24">
        <f>C1028</f>
        <v>20622954.719999999</v>
      </c>
      <c r="AC1028" s="125"/>
      <c r="AD1028" s="112">
        <v>2024</v>
      </c>
      <c r="AE1028" s="112">
        <v>2025</v>
      </c>
      <c r="AF1028" s="808"/>
      <c r="AG1028" s="806"/>
    </row>
    <row r="1029" spans="1:33" s="26" customFormat="1" ht="24" customHeight="1">
      <c r="A1029" s="112">
        <f>A1028+1</f>
        <v>583</v>
      </c>
      <c r="B1029" s="59" t="s">
        <v>248</v>
      </c>
      <c r="C1029" s="4">
        <f>D1029+F1029+G1029+H1029+I1029+K1029+L1029+M1029+O1029+P1029+Q1029+R1029+S1029+W1029+V1029+X1029</f>
        <v>6368170.3200000003</v>
      </c>
      <c r="D1029" s="9"/>
      <c r="E1029" s="9"/>
      <c r="F1029" s="9"/>
      <c r="G1029" s="12"/>
      <c r="H1029" s="13"/>
      <c r="I1029" s="13"/>
      <c r="J1029" s="21"/>
      <c r="K1029" s="9"/>
      <c r="L1029" s="12"/>
      <c r="M1029" s="22"/>
      <c r="N1029" s="22"/>
      <c r="O1029" s="22"/>
      <c r="P1029" s="9"/>
      <c r="Q1029" s="9"/>
      <c r="R1029" s="9"/>
      <c r="S1029" s="13">
        <f>3911.7*1462.9</f>
        <v>5722425.9299999997</v>
      </c>
      <c r="T1029" s="110"/>
      <c r="U1029" s="110"/>
      <c r="V1029" s="3">
        <v>559908</v>
      </c>
      <c r="W1029" s="24">
        <f>ROUND((D1029+F1029+G1029+H1029+I1029+K1029+L1029+M1029+O1029+P1029+Q1029+R1029+S1029)*1.5%,2)</f>
        <v>85836.39</v>
      </c>
      <c r="X1029" s="21"/>
      <c r="Y1029" s="21"/>
      <c r="Z1029" s="21"/>
      <c r="AA1029" s="21"/>
      <c r="AB1029" s="24">
        <f>C1029</f>
        <v>6368170.3200000003</v>
      </c>
      <c r="AC1029" s="18"/>
      <c r="AD1029" s="18">
        <v>2024</v>
      </c>
      <c r="AE1029" s="18">
        <v>2024</v>
      </c>
      <c r="AF1029" s="25"/>
      <c r="AG1029" s="91"/>
    </row>
    <row r="1030" spans="1:33" s="148" customFormat="1" ht="24" customHeight="1">
      <c r="A1030" s="883" t="s">
        <v>180</v>
      </c>
      <c r="B1030" s="883"/>
      <c r="C1030" s="16">
        <f>SUM(C1027:C1029)</f>
        <v>46856552.530000001</v>
      </c>
      <c r="D1030" s="16">
        <f t="shared" ref="D1030:AC1030" si="449">SUM(D1027:D1029)</f>
        <v>0</v>
      </c>
      <c r="E1030" s="16">
        <f t="shared" si="449"/>
        <v>0</v>
      </c>
      <c r="F1030" s="16">
        <f t="shared" si="449"/>
        <v>0</v>
      </c>
      <c r="G1030" s="16">
        <f t="shared" si="449"/>
        <v>673255.58</v>
      </c>
      <c r="H1030" s="16">
        <f t="shared" si="449"/>
        <v>1450737.48</v>
      </c>
      <c r="I1030" s="16">
        <f t="shared" si="449"/>
        <v>6835940.9000000004</v>
      </c>
      <c r="J1030" s="16">
        <f t="shared" si="449"/>
        <v>0</v>
      </c>
      <c r="K1030" s="16">
        <f t="shared" si="449"/>
        <v>0</v>
      </c>
      <c r="L1030" s="16">
        <f t="shared" si="449"/>
        <v>1630365.54</v>
      </c>
      <c r="M1030" s="16">
        <f t="shared" si="449"/>
        <v>0</v>
      </c>
      <c r="N1030" s="16">
        <f t="shared" si="449"/>
        <v>0</v>
      </c>
      <c r="O1030" s="16">
        <f t="shared" si="449"/>
        <v>0</v>
      </c>
      <c r="P1030" s="16">
        <f t="shared" si="449"/>
        <v>18024074.690000001</v>
      </c>
      <c r="Q1030" s="16">
        <f t="shared" si="449"/>
        <v>0</v>
      </c>
      <c r="R1030" s="16">
        <f t="shared" si="449"/>
        <v>7543371.2800000003</v>
      </c>
      <c r="S1030" s="16">
        <f t="shared" si="449"/>
        <v>7581940.75</v>
      </c>
      <c r="T1030" s="141"/>
      <c r="U1030" s="141"/>
      <c r="V1030" s="16">
        <f t="shared" si="449"/>
        <v>2460771.02</v>
      </c>
      <c r="W1030" s="16">
        <f t="shared" si="449"/>
        <v>656095.29</v>
      </c>
      <c r="X1030" s="16">
        <f t="shared" si="449"/>
        <v>0</v>
      </c>
      <c r="Y1030" s="16">
        <f t="shared" si="449"/>
        <v>0</v>
      </c>
      <c r="Z1030" s="16">
        <f t="shared" si="449"/>
        <v>0</v>
      </c>
      <c r="AA1030" s="16">
        <f t="shared" si="449"/>
        <v>0</v>
      </c>
      <c r="AB1030" s="16">
        <f t="shared" si="449"/>
        <v>46856552.530000001</v>
      </c>
      <c r="AC1030" s="16">
        <f t="shared" si="449"/>
        <v>0</v>
      </c>
      <c r="AD1030" s="798" t="s">
        <v>29</v>
      </c>
      <c r="AE1030" s="798" t="s">
        <v>29</v>
      </c>
      <c r="AF1030" s="146"/>
      <c r="AG1030" s="147"/>
    </row>
    <row r="1031" spans="1:33" ht="24" customHeight="1">
      <c r="A1031" s="884" t="s">
        <v>1289</v>
      </c>
      <c r="B1031" s="884"/>
      <c r="C1031" s="884"/>
      <c r="D1031" s="884"/>
      <c r="E1031" s="884"/>
      <c r="F1031" s="884"/>
      <c r="G1031" s="884"/>
      <c r="H1031" s="884"/>
      <c r="I1031" s="884"/>
      <c r="J1031" s="884"/>
      <c r="K1031" s="884"/>
      <c r="L1031" s="884"/>
      <c r="M1031" s="884"/>
      <c r="N1031" s="884"/>
      <c r="O1031" s="884"/>
      <c r="P1031" s="884"/>
      <c r="Q1031" s="884"/>
      <c r="R1031" s="884"/>
      <c r="S1031" s="884"/>
      <c r="T1031" s="884"/>
      <c r="U1031" s="884"/>
      <c r="V1031" s="884"/>
      <c r="W1031" s="884"/>
      <c r="X1031" s="884"/>
      <c r="Y1031" s="884"/>
      <c r="Z1031" s="884"/>
      <c r="AA1031" s="884"/>
      <c r="AB1031" s="884"/>
      <c r="AC1031" s="884"/>
      <c r="AD1031" s="884"/>
      <c r="AE1031" s="884"/>
      <c r="AF1031" s="808"/>
      <c r="AG1031" s="806"/>
    </row>
    <row r="1032" spans="1:33" s="26" customFormat="1" ht="24" customHeight="1">
      <c r="A1032" s="18">
        <f>A1029+1</f>
        <v>584</v>
      </c>
      <c r="B1032" s="55" t="s">
        <v>250</v>
      </c>
      <c r="C1032" s="4">
        <f>D1032+F1032+G1032+H1032+I1032+K1032+L1032+M1032+O1032+P1032+Q1032+R1032+S1032+W1032+V1032+X1032</f>
        <v>6814392.4400000004</v>
      </c>
      <c r="D1032" s="9"/>
      <c r="E1032" s="9"/>
      <c r="F1032" s="9"/>
      <c r="G1032" s="12"/>
      <c r="H1032" s="13"/>
      <c r="I1032" s="13"/>
      <c r="J1032" s="21"/>
      <c r="K1032" s="9"/>
      <c r="L1032" s="12"/>
      <c r="M1032" s="22"/>
      <c r="N1032" s="22"/>
      <c r="O1032" s="22"/>
      <c r="P1032" s="9">
        <f>1680.3*3617.12</f>
        <v>6077846.7400000002</v>
      </c>
      <c r="Q1032" s="9"/>
      <c r="R1032" s="9"/>
      <c r="S1032" s="13"/>
      <c r="T1032" s="110"/>
      <c r="U1032" s="110"/>
      <c r="V1032" s="780">
        <v>645378</v>
      </c>
      <c r="W1032" s="24">
        <f t="shared" ref="W1032" si="450">(D1032+F1032+G1032+H1032+I1032+K1032+L1032+M1032+O1032+P1032+Q1032+R1032+S1032)*1.5%</f>
        <v>91167.7</v>
      </c>
      <c r="X1032" s="21"/>
      <c r="Y1032" s="21"/>
      <c r="Z1032" s="21"/>
      <c r="AA1032" s="21"/>
      <c r="AB1032" s="24">
        <f t="shared" ref="AB1032:AB1036" si="451">C1032</f>
        <v>6814392.4400000004</v>
      </c>
      <c r="AC1032" s="18"/>
      <c r="AD1032" s="18">
        <v>2024</v>
      </c>
      <c r="AE1032" s="18">
        <v>2024</v>
      </c>
      <c r="AF1032" s="25"/>
      <c r="AG1032" s="91"/>
    </row>
    <row r="1033" spans="1:33" s="26" customFormat="1" ht="24" customHeight="1">
      <c r="A1033" s="112">
        <f>A1032+1</f>
        <v>585</v>
      </c>
      <c r="B1033" s="55" t="s">
        <v>597</v>
      </c>
      <c r="C1033" s="4">
        <f>D1033+F1033+G1033+H1033+I1033+K1033+L1033+M1033+O1033+P1033+Q1033+R1033+S1033+W1033+V1033+X1033</f>
        <v>14708046.800000001</v>
      </c>
      <c r="D1033" s="108"/>
      <c r="E1033" s="405"/>
      <c r="F1033" s="108"/>
      <c r="G1033" s="109"/>
      <c r="H1033" s="110"/>
      <c r="I1033" s="110"/>
      <c r="J1033" s="107"/>
      <c r="K1033" s="108"/>
      <c r="L1033" s="109"/>
      <c r="M1033" s="113"/>
      <c r="N1033" s="113"/>
      <c r="O1033" s="113"/>
      <c r="P1033" s="108">
        <v>13810372.58</v>
      </c>
      <c r="Q1033" s="108"/>
      <c r="R1033" s="108"/>
      <c r="S1033" s="110"/>
      <c r="T1033" s="110"/>
      <c r="U1033" s="110"/>
      <c r="V1033" s="790">
        <v>690518.63</v>
      </c>
      <c r="W1033" s="111">
        <v>207155.59</v>
      </c>
      <c r="X1033" s="107"/>
      <c r="Y1033" s="107"/>
      <c r="Z1033" s="107"/>
      <c r="AA1033" s="107"/>
      <c r="AB1033" s="24">
        <f t="shared" si="451"/>
        <v>14708046.800000001</v>
      </c>
      <c r="AC1033" s="112"/>
      <c r="AD1033" s="112">
        <v>2024</v>
      </c>
      <c r="AE1033" s="112">
        <v>2025</v>
      </c>
      <c r="AF1033" s="25"/>
      <c r="AG1033" s="91"/>
    </row>
    <row r="1034" spans="1:33" s="26" customFormat="1" ht="24" customHeight="1">
      <c r="A1034" s="112">
        <f t="shared" ref="A1034:A1045" si="452">A1033+1</f>
        <v>586</v>
      </c>
      <c r="B1034" s="55" t="s">
        <v>599</v>
      </c>
      <c r="C1034" s="127">
        <f t="shared" ref="C1034" si="453">D1034+F1034+G1034+H1034+I1034+K1034+L1034+M1034+O1034+P1034+Q1034+R1034+S1034+W1034+V1034+X1034</f>
        <v>1861001.14</v>
      </c>
      <c r="D1034" s="125"/>
      <c r="E1034" s="404">
        <v>1</v>
      </c>
      <c r="F1034" s="125">
        <v>1612809</v>
      </c>
      <c r="G1034" s="128"/>
      <c r="H1034" s="125"/>
      <c r="I1034" s="125"/>
      <c r="J1034" s="125"/>
      <c r="K1034" s="125"/>
      <c r="L1034" s="128"/>
      <c r="M1034" s="128"/>
      <c r="N1034" s="128"/>
      <c r="O1034" s="128"/>
      <c r="P1034" s="125"/>
      <c r="Q1034" s="125"/>
      <c r="R1034" s="125"/>
      <c r="S1034" s="125"/>
      <c r="T1034" s="125"/>
      <c r="U1034" s="125"/>
      <c r="V1034" s="791">
        <v>224000</v>
      </c>
      <c r="W1034" s="24">
        <v>24192.14</v>
      </c>
      <c r="X1034" s="125"/>
      <c r="Y1034" s="125"/>
      <c r="Z1034" s="125"/>
      <c r="AA1034" s="125"/>
      <c r="AB1034" s="125">
        <f t="shared" si="451"/>
        <v>1861001.14</v>
      </c>
      <c r="AC1034" s="805"/>
      <c r="AD1034" s="112">
        <v>2024</v>
      </c>
      <c r="AE1034" s="112">
        <v>2025</v>
      </c>
      <c r="AF1034" s="25"/>
      <c r="AG1034" s="91"/>
    </row>
    <row r="1035" spans="1:33" s="26" customFormat="1" ht="24" customHeight="1">
      <c r="A1035" s="112">
        <f t="shared" si="452"/>
        <v>587</v>
      </c>
      <c r="B1035" s="55" t="s">
        <v>591</v>
      </c>
      <c r="C1035" s="4">
        <f t="shared" ref="C1035:C1040" si="454">D1035+F1035+G1035+H1035+I1035+K1035+L1035+M1035+O1035+P1035+Q1035+R1035+S1035+W1035+V1035+X1035</f>
        <v>3331448.08</v>
      </c>
      <c r="D1035" s="108"/>
      <c r="E1035" s="405"/>
      <c r="F1035" s="108"/>
      <c r="G1035" s="109"/>
      <c r="H1035" s="110"/>
      <c r="I1035" s="110"/>
      <c r="J1035" s="107"/>
      <c r="K1035" s="108"/>
      <c r="L1035" s="109">
        <v>3128120.27</v>
      </c>
      <c r="M1035" s="113"/>
      <c r="N1035" s="113"/>
      <c r="O1035" s="113"/>
      <c r="P1035" s="108"/>
      <c r="Q1035" s="108"/>
      <c r="R1035" s="108"/>
      <c r="S1035" s="110"/>
      <c r="T1035" s="110"/>
      <c r="U1035" s="110"/>
      <c r="V1035" s="790">
        <v>156406.01</v>
      </c>
      <c r="W1035" s="111">
        <v>46921.8</v>
      </c>
      <c r="X1035" s="107"/>
      <c r="Y1035" s="107"/>
      <c r="Z1035" s="107"/>
      <c r="AA1035" s="107"/>
      <c r="AB1035" s="24">
        <f t="shared" si="451"/>
        <v>3331448.08</v>
      </c>
      <c r="AC1035" s="112"/>
      <c r="AD1035" s="112">
        <v>2024</v>
      </c>
      <c r="AE1035" s="112">
        <v>2025</v>
      </c>
      <c r="AF1035" s="25"/>
      <c r="AG1035" s="91"/>
    </row>
    <row r="1036" spans="1:33" s="26" customFormat="1" ht="24" customHeight="1">
      <c r="A1036" s="112">
        <f t="shared" si="452"/>
        <v>588</v>
      </c>
      <c r="B1036" s="55" t="s">
        <v>590</v>
      </c>
      <c r="C1036" s="4">
        <f t="shared" si="454"/>
        <v>7699915.9199999999</v>
      </c>
      <c r="D1036" s="108"/>
      <c r="E1036" s="405"/>
      <c r="F1036" s="108"/>
      <c r="G1036" s="109"/>
      <c r="H1036" s="110"/>
      <c r="I1036" s="110"/>
      <c r="J1036" s="107"/>
      <c r="K1036" s="108"/>
      <c r="L1036" s="109"/>
      <c r="M1036" s="113"/>
      <c r="N1036" s="113">
        <v>2</v>
      </c>
      <c r="O1036" s="117">
        <f>3614984*N1036</f>
        <v>7229968</v>
      </c>
      <c r="P1036" s="108"/>
      <c r="Q1036" s="108"/>
      <c r="R1036" s="108"/>
      <c r="S1036" s="110"/>
      <c r="T1036" s="110"/>
      <c r="U1036" s="110"/>
      <c r="V1036" s="790">
        <v>361498.4</v>
      </c>
      <c r="W1036" s="111">
        <v>108449.52</v>
      </c>
      <c r="X1036" s="107"/>
      <c r="Y1036" s="107"/>
      <c r="Z1036" s="107"/>
      <c r="AA1036" s="107"/>
      <c r="AB1036" s="24">
        <f t="shared" si="451"/>
        <v>7699915.9199999999</v>
      </c>
      <c r="AC1036" s="112"/>
      <c r="AD1036" s="112">
        <v>2024</v>
      </c>
      <c r="AE1036" s="112">
        <v>2025</v>
      </c>
      <c r="AF1036" s="25"/>
      <c r="AG1036" s="91"/>
    </row>
    <row r="1037" spans="1:33" s="26" customFormat="1" ht="24" customHeight="1">
      <c r="A1037" s="112">
        <f t="shared" si="452"/>
        <v>589</v>
      </c>
      <c r="B1037" s="55" t="s">
        <v>598</v>
      </c>
      <c r="C1037" s="4">
        <f t="shared" si="454"/>
        <v>7699915.9199999999</v>
      </c>
      <c r="D1037" s="108"/>
      <c r="E1037" s="405"/>
      <c r="F1037" s="108"/>
      <c r="G1037" s="109"/>
      <c r="H1037" s="110"/>
      <c r="I1037" s="110"/>
      <c r="J1037" s="107"/>
      <c r="K1037" s="108"/>
      <c r="L1037" s="109"/>
      <c r="M1037" s="113"/>
      <c r="N1037" s="113">
        <v>2</v>
      </c>
      <c r="O1037" s="117">
        <f>3614984*N1037</f>
        <v>7229968</v>
      </c>
      <c r="P1037" s="108"/>
      <c r="Q1037" s="108"/>
      <c r="R1037" s="108"/>
      <c r="S1037" s="110"/>
      <c r="T1037" s="110"/>
      <c r="U1037" s="110"/>
      <c r="V1037" s="790">
        <v>361498.4</v>
      </c>
      <c r="W1037" s="111">
        <v>108449.52</v>
      </c>
      <c r="X1037" s="107"/>
      <c r="Y1037" s="107"/>
      <c r="Z1037" s="107"/>
      <c r="AA1037" s="107"/>
      <c r="AB1037" s="24">
        <f t="shared" ref="AB1037:AB1038" si="455">C1037</f>
        <v>7699915.9199999999</v>
      </c>
      <c r="AC1037" s="112"/>
      <c r="AD1037" s="112">
        <v>2024</v>
      </c>
      <c r="AE1037" s="112">
        <v>2025</v>
      </c>
      <c r="AF1037" s="25"/>
      <c r="AG1037" s="91"/>
    </row>
    <row r="1038" spans="1:33" s="26" customFormat="1" ht="24" customHeight="1">
      <c r="A1038" s="112">
        <f t="shared" si="452"/>
        <v>590</v>
      </c>
      <c r="B1038" s="55" t="s">
        <v>765</v>
      </c>
      <c r="C1038" s="4">
        <f t="shared" si="454"/>
        <v>11549873.880000001</v>
      </c>
      <c r="D1038" s="160"/>
      <c r="E1038" s="414"/>
      <c r="F1038" s="160"/>
      <c r="G1038" s="155"/>
      <c r="H1038" s="162"/>
      <c r="I1038" s="162"/>
      <c r="J1038" s="161"/>
      <c r="K1038" s="160"/>
      <c r="L1038" s="155"/>
      <c r="M1038" s="157"/>
      <c r="N1038" s="157">
        <v>3</v>
      </c>
      <c r="O1038" s="117">
        <f>3614984*N1038</f>
        <v>10844952</v>
      </c>
      <c r="P1038" s="160"/>
      <c r="Q1038" s="160"/>
      <c r="R1038" s="160"/>
      <c r="S1038" s="162"/>
      <c r="T1038" s="162"/>
      <c r="U1038" s="162"/>
      <c r="V1038" s="792">
        <v>542247.6</v>
      </c>
      <c r="W1038" s="159">
        <v>162674.28</v>
      </c>
      <c r="X1038" s="161"/>
      <c r="Y1038" s="161"/>
      <c r="Z1038" s="161"/>
      <c r="AA1038" s="161"/>
      <c r="AB1038" s="24">
        <f t="shared" si="455"/>
        <v>11549873.880000001</v>
      </c>
      <c r="AC1038" s="163"/>
      <c r="AD1038" s="163">
        <v>2024</v>
      </c>
      <c r="AE1038" s="163">
        <v>2025</v>
      </c>
      <c r="AF1038" s="25"/>
      <c r="AG1038" s="91"/>
    </row>
    <row r="1039" spans="1:33" s="26" customFormat="1" ht="24" customHeight="1">
      <c r="A1039" s="112">
        <f t="shared" si="452"/>
        <v>591</v>
      </c>
      <c r="B1039" s="151" t="s">
        <v>630</v>
      </c>
      <c r="C1039" s="4">
        <f t="shared" si="454"/>
        <v>11996413.859999999</v>
      </c>
      <c r="D1039" s="108"/>
      <c r="E1039" s="405"/>
      <c r="F1039" s="108"/>
      <c r="G1039" s="109"/>
      <c r="H1039" s="110"/>
      <c r="I1039" s="110"/>
      <c r="J1039" s="107"/>
      <c r="K1039" s="108"/>
      <c r="L1039" s="109"/>
      <c r="M1039" s="113"/>
      <c r="N1039" s="113"/>
      <c r="O1039" s="117"/>
      <c r="P1039" s="108">
        <v>11264238.359999999</v>
      </c>
      <c r="Q1039" s="108"/>
      <c r="R1039" s="108"/>
      <c r="S1039" s="110"/>
      <c r="T1039" s="110"/>
      <c r="U1039" s="110"/>
      <c r="V1039" s="790">
        <v>563211.92000000004</v>
      </c>
      <c r="W1039" s="111">
        <v>168963.58</v>
      </c>
      <c r="X1039" s="107"/>
      <c r="Y1039" s="107"/>
      <c r="Z1039" s="107"/>
      <c r="AA1039" s="107"/>
      <c r="AB1039" s="24">
        <f t="shared" ref="AB1039" si="456">C1039</f>
        <v>11996413.859999999</v>
      </c>
      <c r="AC1039" s="112"/>
      <c r="AD1039" s="112">
        <v>2024</v>
      </c>
      <c r="AE1039" s="112">
        <v>2025</v>
      </c>
      <c r="AF1039" s="25"/>
      <c r="AG1039" s="91"/>
    </row>
    <row r="1040" spans="1:33" s="26" customFormat="1" ht="24" customHeight="1">
      <c r="A1040" s="112">
        <f t="shared" si="452"/>
        <v>592</v>
      </c>
      <c r="B1040" s="55" t="s">
        <v>249</v>
      </c>
      <c r="C1040" s="4">
        <f t="shared" si="454"/>
        <v>14031294.92</v>
      </c>
      <c r="D1040" s="9"/>
      <c r="E1040" s="415"/>
      <c r="F1040" s="9"/>
      <c r="G1040" s="12"/>
      <c r="H1040" s="13"/>
      <c r="I1040" s="13"/>
      <c r="J1040" s="21"/>
      <c r="K1040" s="9"/>
      <c r="L1040" s="12"/>
      <c r="M1040" s="22"/>
      <c r="N1040" s="22"/>
      <c r="O1040" s="22"/>
      <c r="P1040" s="9">
        <f>3515.5*3727.29</f>
        <v>13103288</v>
      </c>
      <c r="Q1040" s="9"/>
      <c r="R1040" s="9"/>
      <c r="S1040" s="13"/>
      <c r="T1040" s="110"/>
      <c r="U1040" s="110"/>
      <c r="V1040" s="780">
        <v>731457.6</v>
      </c>
      <c r="W1040" s="24">
        <f>(D1040+F1040+G1040+H1040+I1040+K1040+L1040+M1040+O1040+P1040+Q1040+R1040+S1040)*1.5%</f>
        <v>196549.32</v>
      </c>
      <c r="X1040" s="21"/>
      <c r="Y1040" s="21"/>
      <c r="Z1040" s="21"/>
      <c r="AA1040" s="21"/>
      <c r="AB1040" s="24">
        <f>C1040</f>
        <v>14031294.92</v>
      </c>
      <c r="AC1040" s="18"/>
      <c r="AD1040" s="18">
        <v>2024</v>
      </c>
      <c r="AE1040" s="18">
        <v>2024</v>
      </c>
      <c r="AF1040" s="25"/>
      <c r="AG1040" s="91"/>
    </row>
    <row r="1041" spans="1:33" s="26" customFormat="1" ht="24" customHeight="1">
      <c r="A1041" s="112">
        <f t="shared" si="452"/>
        <v>593</v>
      </c>
      <c r="B1041" s="151" t="s">
        <v>600</v>
      </c>
      <c r="C1041" s="127">
        <f t="shared" ref="C1041" si="457">D1041+F1041+G1041+H1041+I1041+K1041+L1041+M1041+O1041+P1041+Q1041+R1041+S1041+W1041+V1041+X1041</f>
        <v>1861001.14</v>
      </c>
      <c r="D1041" s="125"/>
      <c r="E1041" s="404">
        <v>1</v>
      </c>
      <c r="F1041" s="125">
        <v>1612809</v>
      </c>
      <c r="G1041" s="128"/>
      <c r="H1041" s="125"/>
      <c r="I1041" s="125"/>
      <c r="J1041" s="125"/>
      <c r="K1041" s="125"/>
      <c r="L1041" s="128"/>
      <c r="M1041" s="128"/>
      <c r="N1041" s="128"/>
      <c r="O1041" s="128"/>
      <c r="P1041" s="125"/>
      <c r="Q1041" s="125"/>
      <c r="R1041" s="125"/>
      <c r="S1041" s="125"/>
      <c r="T1041" s="125"/>
      <c r="U1041" s="125"/>
      <c r="V1041" s="791">
        <v>224000</v>
      </c>
      <c r="W1041" s="24">
        <v>24192.14</v>
      </c>
      <c r="X1041" s="125"/>
      <c r="Y1041" s="125"/>
      <c r="Z1041" s="125"/>
      <c r="AA1041" s="125"/>
      <c r="AB1041" s="125">
        <f t="shared" ref="AB1041" si="458">C1041</f>
        <v>1861001.14</v>
      </c>
      <c r="AC1041" s="805"/>
      <c r="AD1041" s="112">
        <v>2024</v>
      </c>
      <c r="AE1041" s="112">
        <v>2025</v>
      </c>
      <c r="AF1041" s="25"/>
      <c r="AG1041" s="91"/>
    </row>
    <row r="1042" spans="1:33" s="26" customFormat="1" ht="24" customHeight="1">
      <c r="A1042" s="112">
        <f t="shared" si="452"/>
        <v>594</v>
      </c>
      <c r="B1042" s="55" t="s">
        <v>592</v>
      </c>
      <c r="C1042" s="4">
        <f>D1042+F1042+G1042+H1042+I1042+K1042+L1042+M1042+O1042+P1042+Q1042+R1042+S1042+W1042+V1042+X1042</f>
        <v>16863828.710000001</v>
      </c>
      <c r="D1042" s="108"/>
      <c r="E1042" s="406"/>
      <c r="F1042" s="108"/>
      <c r="G1042" s="109"/>
      <c r="H1042" s="110"/>
      <c r="I1042" s="110"/>
      <c r="J1042" s="107"/>
      <c r="K1042" s="108"/>
      <c r="L1042" s="109"/>
      <c r="M1042" s="113"/>
      <c r="N1042" s="113"/>
      <c r="O1042" s="113"/>
      <c r="P1042" s="108">
        <v>15834580.949999999</v>
      </c>
      <c r="Q1042" s="108"/>
      <c r="R1042" s="108"/>
      <c r="S1042" s="110"/>
      <c r="T1042" s="110"/>
      <c r="U1042" s="110"/>
      <c r="V1042" s="790">
        <v>791729.05</v>
      </c>
      <c r="W1042" s="111">
        <v>237518.71</v>
      </c>
      <c r="X1042" s="107"/>
      <c r="Y1042" s="107"/>
      <c r="Z1042" s="107"/>
      <c r="AA1042" s="107"/>
      <c r="AB1042" s="24">
        <f>C1042</f>
        <v>16863828.710000001</v>
      </c>
      <c r="AC1042" s="112"/>
      <c r="AD1042" s="112">
        <v>2024</v>
      </c>
      <c r="AE1042" s="112">
        <v>2025</v>
      </c>
      <c r="AF1042" s="25"/>
      <c r="AG1042" s="91"/>
    </row>
    <row r="1043" spans="1:33" s="26" customFormat="1" ht="24" customHeight="1">
      <c r="A1043" s="112">
        <f t="shared" si="452"/>
        <v>595</v>
      </c>
      <c r="B1043" s="151" t="s">
        <v>631</v>
      </c>
      <c r="C1043" s="115">
        <f>D1043+F1043+G1043+H1043+I1043+K1043+L1043+M1043+O1043+P1043+Q1043+R1043+S1043+W1043+V1043+X1043</f>
        <v>9752609.5199999996</v>
      </c>
      <c r="D1043" s="108"/>
      <c r="E1043" s="406"/>
      <c r="F1043" s="108"/>
      <c r="G1043" s="109"/>
      <c r="H1043" s="110"/>
      <c r="I1043" s="110"/>
      <c r="J1043" s="107"/>
      <c r="K1043" s="108"/>
      <c r="L1043" s="109"/>
      <c r="M1043" s="113"/>
      <c r="N1043" s="113"/>
      <c r="O1043" s="113"/>
      <c r="P1043" s="108">
        <v>9157379.8300000001</v>
      </c>
      <c r="Q1043" s="108"/>
      <c r="R1043" s="108"/>
      <c r="S1043" s="110"/>
      <c r="T1043" s="110"/>
      <c r="U1043" s="110"/>
      <c r="V1043" s="790">
        <v>457868.99</v>
      </c>
      <c r="W1043" s="111">
        <v>137360.70000000001</v>
      </c>
      <c r="X1043" s="107"/>
      <c r="Y1043" s="107"/>
      <c r="Z1043" s="107"/>
      <c r="AA1043" s="107"/>
      <c r="AB1043" s="111">
        <f>C1043</f>
        <v>9752609.5199999996</v>
      </c>
      <c r="AC1043" s="112"/>
      <c r="AD1043" s="112">
        <v>2024</v>
      </c>
      <c r="AE1043" s="112">
        <v>2025</v>
      </c>
      <c r="AF1043" s="25"/>
      <c r="AG1043" s="91"/>
    </row>
    <row r="1044" spans="1:33" s="26" customFormat="1" ht="24" customHeight="1">
      <c r="A1044" s="112">
        <f t="shared" si="452"/>
        <v>596</v>
      </c>
      <c r="B1044" s="55" t="s">
        <v>251</v>
      </c>
      <c r="C1044" s="4">
        <f>D1044+F1044+G1044+H1044+I1044+K1044+L1044+M1044+O1044+P1044+Q1044+R1044+S1044+W1044+V1044+X1044</f>
        <v>10809186.32</v>
      </c>
      <c r="D1044" s="9"/>
      <c r="E1044" s="397"/>
      <c r="F1044" s="9"/>
      <c r="G1044" s="12"/>
      <c r="H1044" s="13"/>
      <c r="I1044" s="13"/>
      <c r="J1044" s="21"/>
      <c r="K1044" s="9"/>
      <c r="L1044" s="12"/>
      <c r="M1044" s="22"/>
      <c r="N1044" s="22"/>
      <c r="O1044" s="22"/>
      <c r="P1044" s="9">
        <f>1304.1*7807.38</f>
        <v>10181604.26</v>
      </c>
      <c r="Q1044" s="9"/>
      <c r="R1044" s="9"/>
      <c r="S1044" s="13"/>
      <c r="T1044" s="110"/>
      <c r="U1044" s="110"/>
      <c r="V1044" s="780">
        <v>474858</v>
      </c>
      <c r="W1044" s="24">
        <f t="shared" ref="W1044:W1045" si="459">(D1044+F1044+G1044+H1044+I1044+K1044+L1044+M1044+O1044+P1044+Q1044+R1044+S1044)*1.5%</f>
        <v>152724.06</v>
      </c>
      <c r="X1044" s="21"/>
      <c r="Y1044" s="21"/>
      <c r="Z1044" s="21"/>
      <c r="AA1044" s="21"/>
      <c r="AB1044" s="24">
        <f t="shared" ref="AB1044:AB1045" si="460">C1044</f>
        <v>10809186.32</v>
      </c>
      <c r="AC1044" s="18"/>
      <c r="AD1044" s="18">
        <v>2024</v>
      </c>
      <c r="AE1044" s="18">
        <v>2024</v>
      </c>
      <c r="AF1044" s="25"/>
      <c r="AG1044" s="91"/>
    </row>
    <row r="1045" spans="1:33" s="26" customFormat="1" ht="24" customHeight="1">
      <c r="A1045" s="112">
        <f t="shared" si="452"/>
        <v>597</v>
      </c>
      <c r="B1045" s="55" t="s">
        <v>252</v>
      </c>
      <c r="C1045" s="4">
        <f>D1045+F1045+G1045+H1045+I1045+K1045+L1045+M1045+O1045+P1045+Q1045+R1045+S1045+W1045+V1045+X1045</f>
        <v>4190616.47</v>
      </c>
      <c r="D1045" s="9">
        <f>1653*589.88</f>
        <v>975071.64</v>
      </c>
      <c r="E1045" s="397"/>
      <c r="F1045" s="9"/>
      <c r="G1045" s="12">
        <f>1653*596.38</f>
        <v>985816.14</v>
      </c>
      <c r="H1045" s="12">
        <f>1653*1074.75</f>
        <v>1776561.75</v>
      </c>
      <c r="I1045" s="13"/>
      <c r="J1045" s="21"/>
      <c r="K1045" s="9"/>
      <c r="L1045" s="12"/>
      <c r="M1045" s="22"/>
      <c r="N1045" s="22"/>
      <c r="O1045" s="22"/>
      <c r="P1045" s="9"/>
      <c r="Q1045" s="9"/>
      <c r="R1045" s="9"/>
      <c r="S1045" s="13"/>
      <c r="T1045" s="110"/>
      <c r="U1045" s="110"/>
      <c r="V1045" s="56">
        <v>397105.2</v>
      </c>
      <c r="W1045" s="24">
        <f t="shared" si="459"/>
        <v>56061.74</v>
      </c>
      <c r="X1045" s="21"/>
      <c r="Y1045" s="21"/>
      <c r="Z1045" s="21"/>
      <c r="AA1045" s="21"/>
      <c r="AB1045" s="24">
        <f t="shared" si="460"/>
        <v>4190616.47</v>
      </c>
      <c r="AC1045" s="18"/>
      <c r="AD1045" s="18">
        <v>2024</v>
      </c>
      <c r="AE1045" s="18">
        <v>2024</v>
      </c>
      <c r="AF1045" s="25"/>
      <c r="AG1045" s="91"/>
    </row>
    <row r="1046" spans="1:33" s="148" customFormat="1" ht="24" customHeight="1">
      <c r="A1046" s="883" t="s">
        <v>180</v>
      </c>
      <c r="B1046" s="883"/>
      <c r="C1046" s="16">
        <f>SUM(C1032:C1045)</f>
        <v>123169545.12</v>
      </c>
      <c r="D1046" s="16">
        <f t="shared" ref="D1046:AC1046" si="461">SUM(D1032:D1045)</f>
        <v>975071.64</v>
      </c>
      <c r="E1046" s="396">
        <f t="shared" si="461"/>
        <v>2</v>
      </c>
      <c r="F1046" s="16">
        <f t="shared" si="461"/>
        <v>3225618</v>
      </c>
      <c r="G1046" s="16">
        <f t="shared" si="461"/>
        <v>985816.14</v>
      </c>
      <c r="H1046" s="16">
        <f t="shared" si="461"/>
        <v>1776561.75</v>
      </c>
      <c r="I1046" s="16">
        <f t="shared" si="461"/>
        <v>0</v>
      </c>
      <c r="J1046" s="16">
        <f t="shared" si="461"/>
        <v>0</v>
      </c>
      <c r="K1046" s="16">
        <f t="shared" si="461"/>
        <v>0</v>
      </c>
      <c r="L1046" s="16">
        <f t="shared" si="461"/>
        <v>3128120.27</v>
      </c>
      <c r="M1046" s="16">
        <f t="shared" si="461"/>
        <v>0</v>
      </c>
      <c r="N1046" s="396">
        <f t="shared" si="461"/>
        <v>7</v>
      </c>
      <c r="O1046" s="16">
        <f t="shared" si="461"/>
        <v>25304888</v>
      </c>
      <c r="P1046" s="16">
        <f t="shared" si="461"/>
        <v>79429310.719999999</v>
      </c>
      <c r="Q1046" s="16">
        <f t="shared" si="461"/>
        <v>0</v>
      </c>
      <c r="R1046" s="16">
        <f t="shared" si="461"/>
        <v>0</v>
      </c>
      <c r="S1046" s="16">
        <f t="shared" si="461"/>
        <v>0</v>
      </c>
      <c r="T1046" s="141"/>
      <c r="U1046" s="141"/>
      <c r="V1046" s="16">
        <f t="shared" si="461"/>
        <v>6621777.7999999998</v>
      </c>
      <c r="W1046" s="16">
        <f t="shared" si="461"/>
        <v>1722380.8</v>
      </c>
      <c r="X1046" s="16">
        <f t="shared" si="461"/>
        <v>0</v>
      </c>
      <c r="Y1046" s="16">
        <f t="shared" si="461"/>
        <v>0</v>
      </c>
      <c r="Z1046" s="16">
        <f t="shared" si="461"/>
        <v>0</v>
      </c>
      <c r="AA1046" s="16">
        <f t="shared" si="461"/>
        <v>0</v>
      </c>
      <c r="AB1046" s="16">
        <f t="shared" si="461"/>
        <v>123169545.12</v>
      </c>
      <c r="AC1046" s="16">
        <f t="shared" si="461"/>
        <v>0</v>
      </c>
      <c r="AD1046" s="798" t="s">
        <v>29</v>
      </c>
      <c r="AE1046" s="798" t="s">
        <v>29</v>
      </c>
      <c r="AF1046" s="146"/>
      <c r="AG1046" s="147"/>
    </row>
    <row r="1047" spans="1:33" ht="24" customHeight="1">
      <c r="A1047" s="884" t="s">
        <v>1290</v>
      </c>
      <c r="B1047" s="884"/>
      <c r="C1047" s="884"/>
      <c r="D1047" s="884"/>
      <c r="E1047" s="884"/>
      <c r="F1047" s="884"/>
      <c r="G1047" s="884"/>
      <c r="H1047" s="884"/>
      <c r="I1047" s="884"/>
      <c r="J1047" s="884"/>
      <c r="K1047" s="884"/>
      <c r="L1047" s="884"/>
      <c r="M1047" s="884"/>
      <c r="N1047" s="884"/>
      <c r="O1047" s="884"/>
      <c r="P1047" s="884"/>
      <c r="Q1047" s="884"/>
      <c r="R1047" s="884"/>
      <c r="S1047" s="884"/>
      <c r="T1047" s="884"/>
      <c r="U1047" s="884"/>
      <c r="V1047" s="884"/>
      <c r="W1047" s="884"/>
      <c r="X1047" s="884"/>
      <c r="Y1047" s="884"/>
      <c r="Z1047" s="884"/>
      <c r="AA1047" s="884"/>
      <c r="AB1047" s="884"/>
      <c r="AC1047" s="884"/>
      <c r="AD1047" s="884"/>
      <c r="AE1047" s="884"/>
      <c r="AF1047" s="93"/>
      <c r="AG1047" s="93"/>
    </row>
    <row r="1048" spans="1:33" s="26" customFormat="1" ht="24" customHeight="1">
      <c r="A1048" s="18">
        <f>A1045+1</f>
        <v>598</v>
      </c>
      <c r="B1048" s="85" t="s">
        <v>761</v>
      </c>
      <c r="C1048" s="4">
        <f>D1048+F1048+G1048+H1048+I1048+K1048+L1048+M1048+O1048+P1048+Q1048+R1048+S1048+W1048+V1048+X1048</f>
        <v>1861001</v>
      </c>
      <c r="D1048" s="9"/>
      <c r="E1048" s="731">
        <v>1</v>
      </c>
      <c r="F1048" s="9">
        <v>1612809</v>
      </c>
      <c r="G1048" s="12"/>
      <c r="H1048" s="13"/>
      <c r="I1048" s="13"/>
      <c r="J1048" s="21"/>
      <c r="K1048" s="9"/>
      <c r="L1048" s="12"/>
      <c r="M1048" s="22"/>
      <c r="N1048" s="807"/>
      <c r="O1048" s="12"/>
      <c r="P1048" s="9"/>
      <c r="Q1048" s="9"/>
      <c r="R1048" s="9"/>
      <c r="S1048" s="13"/>
      <c r="T1048" s="13"/>
      <c r="U1048" s="13"/>
      <c r="V1048" s="56">
        <v>224000</v>
      </c>
      <c r="W1048" s="24">
        <v>24192</v>
      </c>
      <c r="X1048" s="21"/>
      <c r="Y1048" s="21"/>
      <c r="Z1048" s="24"/>
      <c r="AA1048" s="21"/>
      <c r="AB1048" s="24">
        <v>1861001</v>
      </c>
      <c r="AC1048" s="18"/>
      <c r="AD1048" s="18">
        <v>2023</v>
      </c>
      <c r="AE1048" s="18">
        <v>2024</v>
      </c>
      <c r="AF1048" s="25"/>
      <c r="AG1048" s="25"/>
    </row>
    <row r="1049" spans="1:33" s="26" customFormat="1" ht="24" customHeight="1">
      <c r="A1049" s="18">
        <f>A1048+1</f>
        <v>599</v>
      </c>
      <c r="B1049" s="85" t="s">
        <v>595</v>
      </c>
      <c r="C1049" s="4">
        <f>D1049+F1049+G1049+H1049+I1049+K1049+L1049+M1049+O1049+P1049+Q1049+R1049+S1049+W1049+V1049+X1049</f>
        <v>6302193.5</v>
      </c>
      <c r="D1049" s="9"/>
      <c r="E1049" s="36"/>
      <c r="F1049" s="9"/>
      <c r="G1049" s="12"/>
      <c r="H1049" s="13"/>
      <c r="I1049" s="13"/>
      <c r="J1049" s="21"/>
      <c r="K1049" s="9"/>
      <c r="L1049" s="12"/>
      <c r="M1049" s="22"/>
      <c r="N1049" s="807"/>
      <c r="O1049" s="12"/>
      <c r="P1049" s="9"/>
      <c r="Q1049" s="9"/>
      <c r="R1049" s="9">
        <v>5917552.5800000001</v>
      </c>
      <c r="S1049" s="13"/>
      <c r="T1049" s="13"/>
      <c r="U1049" s="13"/>
      <c r="V1049" s="56">
        <v>295877.63</v>
      </c>
      <c r="W1049" s="24">
        <v>88763.29</v>
      </c>
      <c r="X1049" s="21"/>
      <c r="Y1049" s="21"/>
      <c r="Z1049" s="24"/>
      <c r="AA1049" s="21"/>
      <c r="AB1049" s="24">
        <f t="shared" ref="AB1049" si="462">C1049</f>
        <v>6302193.5</v>
      </c>
      <c r="AC1049" s="18"/>
      <c r="AD1049" s="112">
        <v>2024</v>
      </c>
      <c r="AE1049" s="112">
        <v>2025</v>
      </c>
      <c r="AF1049" s="25"/>
      <c r="AG1049" s="25"/>
    </row>
    <row r="1050" spans="1:33" s="26" customFormat="1" ht="24" customHeight="1">
      <c r="A1050" s="231">
        <f t="shared" ref="A1050:A1052" si="463">A1049+1</f>
        <v>600</v>
      </c>
      <c r="B1050" s="395" t="s">
        <v>755</v>
      </c>
      <c r="C1050" s="232">
        <f t="shared" ref="C1050:C1052" si="464">D1050+F1050+G1050+H1050+I1050+K1050+L1050+M1050+O1050+P1050+Q1050+R1050+S1050+W1050+V1050+X1050</f>
        <v>110777891.94</v>
      </c>
      <c r="D1050" s="228"/>
      <c r="E1050" s="265"/>
      <c r="F1050" s="228"/>
      <c r="G1050" s="182">
        <v>3045075.31</v>
      </c>
      <c r="H1050" s="234">
        <v>4370432.66</v>
      </c>
      <c r="I1050" s="234">
        <v>16730107.25</v>
      </c>
      <c r="J1050" s="229">
        <v>1</v>
      </c>
      <c r="K1050" s="378">
        <v>2771340</v>
      </c>
      <c r="L1050" s="182">
        <v>7495414.3300000001</v>
      </c>
      <c r="M1050" s="185"/>
      <c r="N1050" s="195"/>
      <c r="O1050" s="182"/>
      <c r="P1050" s="228">
        <v>19953476.710000001</v>
      </c>
      <c r="Q1050" s="228">
        <v>3895176.44</v>
      </c>
      <c r="R1050" s="228">
        <v>36803600.890000001</v>
      </c>
      <c r="S1050" s="234">
        <v>9609223.0700000003</v>
      </c>
      <c r="T1050" s="234"/>
      <c r="U1050" s="234"/>
      <c r="V1050" s="379">
        <v>5219125.33</v>
      </c>
      <c r="W1050" s="230">
        <v>884919.95</v>
      </c>
      <c r="X1050" s="229"/>
      <c r="Y1050" s="230">
        <f>C1050*96%</f>
        <v>106346776.26000001</v>
      </c>
      <c r="Z1050" s="230">
        <f>C1050*4%</f>
        <v>4431115.68</v>
      </c>
      <c r="AA1050" s="229"/>
      <c r="AB1050" s="230"/>
      <c r="AC1050" s="231"/>
      <c r="AD1050" s="231">
        <v>2024</v>
      </c>
      <c r="AE1050" s="231">
        <v>2024</v>
      </c>
      <c r="AF1050" s="25"/>
      <c r="AG1050" s="262"/>
    </row>
    <row r="1051" spans="1:33" s="26" customFormat="1" ht="24" customHeight="1">
      <c r="A1051" s="648">
        <f t="shared" si="463"/>
        <v>601</v>
      </c>
      <c r="B1051" s="708" t="s">
        <v>756</v>
      </c>
      <c r="C1051" s="649">
        <f t="shared" si="464"/>
        <v>17214015.120000001</v>
      </c>
      <c r="D1051" s="659"/>
      <c r="E1051" s="706"/>
      <c r="F1051" s="659"/>
      <c r="G1051" s="661"/>
      <c r="H1051" s="662"/>
      <c r="I1051" s="662"/>
      <c r="J1051" s="660"/>
      <c r="K1051" s="659"/>
      <c r="L1051" s="661"/>
      <c r="M1051" s="663"/>
      <c r="N1051" s="698"/>
      <c r="O1051" s="661"/>
      <c r="P1051" s="659">
        <v>15886650.199999999</v>
      </c>
      <c r="Q1051" s="659"/>
      <c r="R1051" s="659"/>
      <c r="S1051" s="662"/>
      <c r="T1051" s="662"/>
      <c r="U1051" s="662"/>
      <c r="V1051" s="707">
        <v>1186283.25</v>
      </c>
      <c r="W1051" s="654">
        <v>141081.67000000001</v>
      </c>
      <c r="X1051" s="660"/>
      <c r="Y1051" s="654">
        <f>C1051*96%</f>
        <v>16525454.52</v>
      </c>
      <c r="Z1051" s="654">
        <f>C1051*4%</f>
        <v>688560.6</v>
      </c>
      <c r="AA1051" s="660"/>
      <c r="AB1051" s="654"/>
      <c r="AC1051" s="648"/>
      <c r="AD1051" s="648">
        <v>2024</v>
      </c>
      <c r="AE1051" s="648">
        <v>2024</v>
      </c>
      <c r="AF1051" s="25"/>
      <c r="AG1051" s="262"/>
    </row>
    <row r="1052" spans="1:33" s="26" customFormat="1" ht="24" customHeight="1">
      <c r="A1052" s="231">
        <f t="shared" si="463"/>
        <v>602</v>
      </c>
      <c r="B1052" s="395" t="s">
        <v>757</v>
      </c>
      <c r="C1052" s="232">
        <f t="shared" si="464"/>
        <v>92518140.920000002</v>
      </c>
      <c r="D1052" s="228"/>
      <c r="E1052" s="265"/>
      <c r="F1052" s="228"/>
      <c r="G1052" s="182">
        <v>3424620.84</v>
      </c>
      <c r="H1052" s="234">
        <v>3133498.1</v>
      </c>
      <c r="I1052" s="234">
        <v>12959456.439999999</v>
      </c>
      <c r="J1052" s="229">
        <v>1</v>
      </c>
      <c r="K1052" s="378">
        <v>2771340</v>
      </c>
      <c r="L1052" s="182">
        <v>5549676.9800000004</v>
      </c>
      <c r="M1052" s="185"/>
      <c r="N1052" s="195"/>
      <c r="O1052" s="182"/>
      <c r="P1052" s="228">
        <v>14165831.24</v>
      </c>
      <c r="Q1052" s="228">
        <v>3346579.7</v>
      </c>
      <c r="R1052" s="228">
        <v>34955037.619999997</v>
      </c>
      <c r="S1052" s="234">
        <v>7114361.7999999998</v>
      </c>
      <c r="T1052" s="234"/>
      <c r="U1052" s="234"/>
      <c r="V1052" s="379">
        <v>4356453.1399999997</v>
      </c>
      <c r="W1052" s="230">
        <v>741285.06</v>
      </c>
      <c r="X1052" s="229"/>
      <c r="Y1052" s="230">
        <f>C1052*96%</f>
        <v>88817415.280000001</v>
      </c>
      <c r="Z1052" s="230">
        <f>C1052*4%</f>
        <v>3700725.64</v>
      </c>
      <c r="AA1052" s="229"/>
      <c r="AB1052" s="230"/>
      <c r="AC1052" s="231"/>
      <c r="AD1052" s="231">
        <v>2024</v>
      </c>
      <c r="AE1052" s="231">
        <v>2024</v>
      </c>
      <c r="AF1052" s="25"/>
      <c r="AG1052" s="262"/>
    </row>
    <row r="1053" spans="1:33" s="95" customFormat="1" ht="24" customHeight="1">
      <c r="A1053" s="883" t="s">
        <v>180</v>
      </c>
      <c r="B1053" s="883"/>
      <c r="C1053" s="16">
        <f>SUM(C1048:C1052)</f>
        <v>228673242.47999999</v>
      </c>
      <c r="D1053" s="16">
        <f t="shared" ref="D1053:AC1053" si="465">SUM(D1048:D1052)</f>
        <v>0</v>
      </c>
      <c r="E1053" s="396">
        <f t="shared" si="465"/>
        <v>1</v>
      </c>
      <c r="F1053" s="16">
        <f t="shared" si="465"/>
        <v>1612809</v>
      </c>
      <c r="G1053" s="16">
        <f t="shared" si="465"/>
        <v>6469696.1500000004</v>
      </c>
      <c r="H1053" s="16">
        <f t="shared" si="465"/>
        <v>7503930.7599999998</v>
      </c>
      <c r="I1053" s="16">
        <f t="shared" si="465"/>
        <v>29689563.690000001</v>
      </c>
      <c r="J1053" s="396">
        <f t="shared" si="465"/>
        <v>2</v>
      </c>
      <c r="K1053" s="16">
        <f t="shared" si="465"/>
        <v>5542680</v>
      </c>
      <c r="L1053" s="16">
        <f t="shared" si="465"/>
        <v>13045091.310000001</v>
      </c>
      <c r="M1053" s="16">
        <f t="shared" si="465"/>
        <v>0</v>
      </c>
      <c r="N1053" s="16">
        <f t="shared" si="465"/>
        <v>0</v>
      </c>
      <c r="O1053" s="16">
        <f t="shared" si="465"/>
        <v>0</v>
      </c>
      <c r="P1053" s="16">
        <f t="shared" si="465"/>
        <v>50005958.149999999</v>
      </c>
      <c r="Q1053" s="16">
        <f t="shared" si="465"/>
        <v>7241756.1399999997</v>
      </c>
      <c r="R1053" s="16">
        <f t="shared" si="465"/>
        <v>77676191.090000004</v>
      </c>
      <c r="S1053" s="16">
        <f t="shared" si="465"/>
        <v>16723584.869999999</v>
      </c>
      <c r="T1053" s="16">
        <f t="shared" si="465"/>
        <v>0</v>
      </c>
      <c r="U1053" s="16">
        <f t="shared" si="465"/>
        <v>0</v>
      </c>
      <c r="V1053" s="16">
        <f t="shared" si="465"/>
        <v>11281739.35</v>
      </c>
      <c r="W1053" s="16">
        <f t="shared" si="465"/>
        <v>1880241.97</v>
      </c>
      <c r="X1053" s="16">
        <f t="shared" si="465"/>
        <v>0</v>
      </c>
      <c r="Y1053" s="16">
        <f t="shared" si="465"/>
        <v>211689646.06</v>
      </c>
      <c r="Z1053" s="16">
        <f t="shared" si="465"/>
        <v>8820401.9199999999</v>
      </c>
      <c r="AA1053" s="16">
        <f t="shared" si="465"/>
        <v>0</v>
      </c>
      <c r="AB1053" s="16">
        <f t="shared" si="465"/>
        <v>8163194.5</v>
      </c>
      <c r="AC1053" s="16">
        <f t="shared" si="465"/>
        <v>0</v>
      </c>
      <c r="AD1053" s="798" t="s">
        <v>29</v>
      </c>
      <c r="AE1053" s="798" t="s">
        <v>29</v>
      </c>
      <c r="AF1053" s="94"/>
      <c r="AG1053" s="94"/>
    </row>
    <row r="1054" spans="1:33" ht="24" customHeight="1">
      <c r="A1054" s="884" t="s">
        <v>1291</v>
      </c>
      <c r="B1054" s="884"/>
      <c r="C1054" s="884"/>
      <c r="D1054" s="884"/>
      <c r="E1054" s="884"/>
      <c r="F1054" s="884"/>
      <c r="G1054" s="884"/>
      <c r="H1054" s="884"/>
      <c r="I1054" s="884"/>
      <c r="J1054" s="884"/>
      <c r="K1054" s="884"/>
      <c r="L1054" s="884"/>
      <c r="M1054" s="884"/>
      <c r="N1054" s="884"/>
      <c r="O1054" s="884"/>
      <c r="P1054" s="884"/>
      <c r="Q1054" s="884"/>
      <c r="R1054" s="884"/>
      <c r="S1054" s="884"/>
      <c r="T1054" s="884"/>
      <c r="U1054" s="884"/>
      <c r="V1054" s="884"/>
      <c r="W1054" s="884"/>
      <c r="X1054" s="884"/>
      <c r="Y1054" s="884"/>
      <c r="Z1054" s="884"/>
      <c r="AA1054" s="884"/>
      <c r="AB1054" s="884"/>
      <c r="AC1054" s="884"/>
      <c r="AD1054" s="884"/>
      <c r="AE1054" s="884"/>
      <c r="AF1054" s="808"/>
      <c r="AG1054" s="806"/>
    </row>
    <row r="1055" spans="1:33" s="26" customFormat="1" ht="24" customHeight="1">
      <c r="A1055" s="231">
        <f>A1052+1</f>
        <v>603</v>
      </c>
      <c r="B1055" s="249" t="s">
        <v>384</v>
      </c>
      <c r="C1055" s="232">
        <f>D1055+F1055+G1055+H1055+I1055+K1055+L1055+M1055+O1055+P1055+Q1055+R1055+S1055+W1055+V1055+X1055</f>
        <v>6164459.0199999996</v>
      </c>
      <c r="D1055" s="228"/>
      <c r="E1055" s="265"/>
      <c r="F1055" s="228"/>
      <c r="G1055" s="182"/>
      <c r="H1055" s="234"/>
      <c r="I1055" s="234"/>
      <c r="J1055" s="229"/>
      <c r="K1055" s="228"/>
      <c r="L1055" s="182"/>
      <c r="M1055" s="185"/>
      <c r="N1055" s="846">
        <v>2</v>
      </c>
      <c r="O1055" s="182">
        <v>5923713.2400000002</v>
      </c>
      <c r="P1055" s="228"/>
      <c r="Q1055" s="228"/>
      <c r="R1055" s="228"/>
      <c r="S1055" s="234"/>
      <c r="T1055" s="234"/>
      <c r="U1055" s="234"/>
      <c r="V1055" s="236">
        <v>151890.07999999999</v>
      </c>
      <c r="W1055" s="230">
        <f>(D1055+F1055+G1055+H1055+I1055+K1055+L1055+M1055+O1055+P1055+Q1055+R1055+S1055)*1.5%</f>
        <v>88855.7</v>
      </c>
      <c r="X1055" s="229"/>
      <c r="Y1055" s="229"/>
      <c r="Z1055" s="229"/>
      <c r="AA1055" s="229"/>
      <c r="AB1055" s="230">
        <f>C1055</f>
        <v>6164459.0199999996</v>
      </c>
      <c r="AC1055" s="231"/>
      <c r="AD1055" s="231">
        <v>2024</v>
      </c>
      <c r="AE1055" s="231">
        <v>2024</v>
      </c>
      <c r="AF1055" s="91"/>
      <c r="AG1055" s="91"/>
    </row>
    <row r="1056" spans="1:33" s="148" customFormat="1" ht="24" customHeight="1">
      <c r="A1056" s="883" t="s">
        <v>180</v>
      </c>
      <c r="B1056" s="883"/>
      <c r="C1056" s="16">
        <f>SUM(C1055:C1055)</f>
        <v>6164459.0199999996</v>
      </c>
      <c r="D1056" s="6">
        <f t="shared" ref="D1056" si="466">SUM(D1055:D1055)</f>
        <v>0</v>
      </c>
      <c r="E1056" s="6">
        <f t="shared" ref="E1056" si="467">SUM(E1055:E1055)</f>
        <v>0</v>
      </c>
      <c r="F1056" s="6">
        <f t="shared" ref="F1056" si="468">SUM(F1055:F1055)</f>
        <v>0</v>
      </c>
      <c r="G1056" s="6">
        <f t="shared" ref="G1056" si="469">SUM(G1055:G1055)</f>
        <v>0</v>
      </c>
      <c r="H1056" s="6">
        <f t="shared" ref="H1056" si="470">SUM(H1055:H1055)</f>
        <v>0</v>
      </c>
      <c r="I1056" s="6">
        <f t="shared" ref="I1056" si="471">SUM(I1055:I1055)</f>
        <v>0</v>
      </c>
      <c r="J1056" s="6">
        <f t="shared" ref="J1056" si="472">SUM(J1055:J1055)</f>
        <v>0</v>
      </c>
      <c r="K1056" s="6">
        <f t="shared" ref="K1056" si="473">SUM(K1055:K1055)</f>
        <v>0</v>
      </c>
      <c r="L1056" s="6">
        <f t="shared" ref="L1056" si="474">SUM(L1055:L1055)</f>
        <v>0</v>
      </c>
      <c r="M1056" s="6">
        <f t="shared" ref="M1056" si="475">SUM(M1055:M1055)</f>
        <v>0</v>
      </c>
      <c r="N1056" s="847">
        <f t="shared" ref="N1056" si="476">SUM(N1055:N1055)</f>
        <v>2</v>
      </c>
      <c r="O1056" s="6">
        <f t="shared" ref="O1056" si="477">SUM(O1055:O1055)</f>
        <v>5923713.2400000002</v>
      </c>
      <c r="P1056" s="6">
        <f t="shared" ref="P1056" si="478">SUM(P1055:P1055)</f>
        <v>0</v>
      </c>
      <c r="Q1056" s="6">
        <f t="shared" ref="Q1056" si="479">SUM(Q1055:Q1055)</f>
        <v>0</v>
      </c>
      <c r="R1056" s="6">
        <f t="shared" ref="R1056" si="480">SUM(R1055:R1055)</f>
        <v>0</v>
      </c>
      <c r="S1056" s="6">
        <f t="shared" ref="S1056" si="481">SUM(S1055:S1055)</f>
        <v>0</v>
      </c>
      <c r="T1056" s="140"/>
      <c r="U1056" s="140"/>
      <c r="V1056" s="16">
        <f t="shared" ref="V1056" si="482">SUM(V1055:V1055)</f>
        <v>151890.07999999999</v>
      </c>
      <c r="W1056" s="16">
        <f t="shared" ref="W1056" si="483">SUM(W1055:W1055)</f>
        <v>88855.7</v>
      </c>
      <c r="X1056" s="16">
        <f t="shared" ref="X1056" si="484">SUM(X1055:X1055)</f>
        <v>0</v>
      </c>
      <c r="Y1056" s="16">
        <f t="shared" ref="Y1056" si="485">SUM(Y1055:Y1055)</f>
        <v>0</v>
      </c>
      <c r="Z1056" s="16">
        <f t="shared" ref="Z1056" si="486">SUM(Z1055:Z1055)</f>
        <v>0</v>
      </c>
      <c r="AA1056" s="16">
        <f t="shared" ref="AA1056" si="487">SUM(AA1055:AA1055)</f>
        <v>0</v>
      </c>
      <c r="AB1056" s="16">
        <f t="shared" ref="AB1056" si="488">SUM(AB1055:AB1055)</f>
        <v>6164459.0199999996</v>
      </c>
      <c r="AC1056" s="798"/>
      <c r="AD1056" s="798" t="s">
        <v>29</v>
      </c>
      <c r="AE1056" s="798" t="s">
        <v>29</v>
      </c>
      <c r="AF1056" s="146"/>
      <c r="AG1056" s="147"/>
    </row>
    <row r="1057" spans="1:33" ht="24" customHeight="1">
      <c r="A1057" s="884" t="s">
        <v>1292</v>
      </c>
      <c r="B1057" s="884"/>
      <c r="C1057" s="884"/>
      <c r="D1057" s="884"/>
      <c r="E1057" s="884"/>
      <c r="F1057" s="884"/>
      <c r="G1057" s="884"/>
      <c r="H1057" s="884"/>
      <c r="I1057" s="884"/>
      <c r="J1057" s="884"/>
      <c r="K1057" s="884"/>
      <c r="L1057" s="884"/>
      <c r="M1057" s="884"/>
      <c r="N1057" s="884"/>
      <c r="O1057" s="884"/>
      <c r="P1057" s="884"/>
      <c r="Q1057" s="884"/>
      <c r="R1057" s="884"/>
      <c r="S1057" s="884"/>
      <c r="T1057" s="884"/>
      <c r="U1057" s="884"/>
      <c r="V1057" s="884"/>
      <c r="W1057" s="884"/>
      <c r="X1057" s="884"/>
      <c r="Y1057" s="884"/>
      <c r="Z1057" s="884"/>
      <c r="AA1057" s="884"/>
      <c r="AB1057" s="884"/>
      <c r="AC1057" s="884"/>
      <c r="AD1057" s="884"/>
      <c r="AE1057" s="884"/>
      <c r="AF1057" s="808"/>
      <c r="AG1057" s="806"/>
    </row>
    <row r="1058" spans="1:33" s="26" customFormat="1" ht="24" customHeight="1">
      <c r="A1058" s="18">
        <f>A1055+1</f>
        <v>604</v>
      </c>
      <c r="B1058" s="37" t="s">
        <v>253</v>
      </c>
      <c r="C1058" s="4">
        <f>D1058+F1058+G1058+H1058+I1058+K1058+L1058+M1058+O1058+P1058+Q1058+R1058+S1058+W1058+V1058+X1058</f>
        <v>6688547.6799999997</v>
      </c>
      <c r="D1058" s="9"/>
      <c r="E1058" s="36"/>
      <c r="F1058" s="9"/>
      <c r="G1058" s="12"/>
      <c r="H1058" s="13"/>
      <c r="I1058" s="13"/>
      <c r="J1058" s="21"/>
      <c r="K1058" s="9"/>
      <c r="L1058" s="12"/>
      <c r="M1058" s="22"/>
      <c r="N1058" s="22"/>
      <c r="O1058" s="22"/>
      <c r="P1058" s="9">
        <f>1646.1*3617.12</f>
        <v>5954141.2300000004</v>
      </c>
      <c r="Q1058" s="9"/>
      <c r="R1058" s="9"/>
      <c r="S1058" s="13"/>
      <c r="T1058" s="110"/>
      <c r="U1058" s="110"/>
      <c r="V1058" s="11">
        <v>645094.32999999996</v>
      </c>
      <c r="W1058" s="24">
        <f>(D1058+F1058+G1058+H1058+I1058+K1058+L1058+M1058+O1058+P1058+Q1058+R1058+S1058)*1.5%</f>
        <v>89312.12</v>
      </c>
      <c r="X1058" s="21"/>
      <c r="Y1058" s="21"/>
      <c r="Z1058" s="21"/>
      <c r="AA1058" s="21"/>
      <c r="AB1058" s="24">
        <f>C1058</f>
        <v>6688547.6799999997</v>
      </c>
      <c r="AC1058" s="18"/>
      <c r="AD1058" s="18">
        <v>2024</v>
      </c>
      <c r="AE1058" s="18">
        <v>2024</v>
      </c>
      <c r="AF1058" s="25"/>
      <c r="AG1058" s="91"/>
    </row>
    <row r="1059" spans="1:33" s="26" customFormat="1" ht="24" customHeight="1">
      <c r="A1059" s="18">
        <f>A1058+1</f>
        <v>605</v>
      </c>
      <c r="B1059" s="37" t="s">
        <v>254</v>
      </c>
      <c r="C1059" s="4">
        <f>D1059+F1059+G1059+H1059+I1059+K1059+L1059+M1059+O1059+P1059+Q1059+R1059+S1059+W1059+V1059+X1059</f>
        <v>10058166.119999999</v>
      </c>
      <c r="D1059" s="9"/>
      <c r="E1059" s="9"/>
      <c r="F1059" s="9"/>
      <c r="G1059" s="12"/>
      <c r="H1059" s="13"/>
      <c r="I1059" s="13"/>
      <c r="J1059" s="21"/>
      <c r="K1059" s="9"/>
      <c r="L1059" s="12"/>
      <c r="M1059" s="22"/>
      <c r="N1059" s="22"/>
      <c r="O1059" s="22"/>
      <c r="P1059" s="9">
        <f>2516.8*3727.29</f>
        <v>9380843.4700000007</v>
      </c>
      <c r="Q1059" s="9"/>
      <c r="R1059" s="9"/>
      <c r="S1059" s="13"/>
      <c r="T1059" s="110"/>
      <c r="U1059" s="110"/>
      <c r="V1059" s="11">
        <v>536610</v>
      </c>
      <c r="W1059" s="24">
        <f>(D1059+F1059+G1059+H1059+I1059+K1059+L1059+M1059+O1059+P1059+Q1059+R1059+S1059)*1.5%</f>
        <v>140712.65</v>
      </c>
      <c r="X1059" s="21"/>
      <c r="Y1059" s="21"/>
      <c r="Z1059" s="21"/>
      <c r="AA1059" s="21"/>
      <c r="AB1059" s="24">
        <f t="shared" ref="AB1059:AB1062" si="489">C1059</f>
        <v>10058166.119999999</v>
      </c>
      <c r="AC1059" s="18"/>
      <c r="AD1059" s="18">
        <v>2024</v>
      </c>
      <c r="AE1059" s="18">
        <v>2024</v>
      </c>
      <c r="AF1059" s="25"/>
      <c r="AG1059" s="91"/>
    </row>
    <row r="1060" spans="1:33" s="26" customFormat="1" ht="24" customHeight="1">
      <c r="A1060" s="18">
        <f t="shared" ref="A1060:A1062" si="490">A1059+1</f>
        <v>606</v>
      </c>
      <c r="B1060" s="37" t="s">
        <v>255</v>
      </c>
      <c r="C1060" s="4">
        <f t="shared" ref="C1060:C1062" si="491">D1060+F1060+G1060+H1060+I1060+K1060+L1060+M1060+O1060+P1060+Q1060+R1060+S1060+W1060+V1060+X1060</f>
        <v>1702814.02</v>
      </c>
      <c r="D1060" s="9"/>
      <c r="E1060" s="9"/>
      <c r="F1060" s="9"/>
      <c r="G1060" s="12"/>
      <c r="H1060" s="13"/>
      <c r="I1060" s="13"/>
      <c r="J1060" s="21"/>
      <c r="K1060" s="9"/>
      <c r="L1060" s="12"/>
      <c r="M1060" s="22"/>
      <c r="N1060" s="22"/>
      <c r="O1060" s="22"/>
      <c r="P1060" s="9"/>
      <c r="Q1060" s="9"/>
      <c r="R1060" s="9"/>
      <c r="S1060" s="13">
        <f>1258*1135.41</f>
        <v>1428345.78</v>
      </c>
      <c r="T1060" s="110"/>
      <c r="U1060" s="110"/>
      <c r="V1060" s="11">
        <v>253043.05</v>
      </c>
      <c r="W1060" s="24">
        <f t="shared" ref="W1060" si="492">(D1060+F1060+G1060+H1060+I1060+K1060+L1060+M1060+O1060+P1060+Q1060+R1060+S1060)*1.5%</f>
        <v>21425.19</v>
      </c>
      <c r="X1060" s="21"/>
      <c r="Y1060" s="21"/>
      <c r="Z1060" s="21"/>
      <c r="AA1060" s="21"/>
      <c r="AB1060" s="24">
        <f t="shared" si="489"/>
        <v>1702814.02</v>
      </c>
      <c r="AC1060" s="18"/>
      <c r="AD1060" s="18">
        <v>2024</v>
      </c>
      <c r="AE1060" s="18">
        <v>2024</v>
      </c>
      <c r="AF1060" s="25"/>
      <c r="AG1060" s="91"/>
    </row>
    <row r="1061" spans="1:33" s="26" customFormat="1" ht="24" customHeight="1">
      <c r="A1061" s="18">
        <f t="shared" si="490"/>
        <v>607</v>
      </c>
      <c r="B1061" s="152" t="s">
        <v>596</v>
      </c>
      <c r="C1061" s="4">
        <f t="shared" si="491"/>
        <v>16072586.84</v>
      </c>
      <c r="D1061" s="108"/>
      <c r="E1061" s="108"/>
      <c r="F1061" s="108"/>
      <c r="G1061" s="109"/>
      <c r="H1061" s="110"/>
      <c r="I1061" s="110"/>
      <c r="J1061" s="107"/>
      <c r="K1061" s="108"/>
      <c r="L1061" s="109"/>
      <c r="M1061" s="113"/>
      <c r="N1061" s="113"/>
      <c r="O1061" s="113"/>
      <c r="P1061" s="108">
        <v>15091630.84</v>
      </c>
      <c r="Q1061" s="108"/>
      <c r="R1061" s="108"/>
      <c r="S1061" s="110"/>
      <c r="T1061" s="110"/>
      <c r="U1061" s="110"/>
      <c r="V1061" s="130">
        <v>754581.54</v>
      </c>
      <c r="W1061" s="111">
        <v>226374.46</v>
      </c>
      <c r="X1061" s="107"/>
      <c r="Y1061" s="107"/>
      <c r="Z1061" s="107"/>
      <c r="AA1061" s="107"/>
      <c r="AB1061" s="24">
        <f t="shared" si="489"/>
        <v>16072586.84</v>
      </c>
      <c r="AC1061" s="112"/>
      <c r="AD1061" s="112">
        <v>2024</v>
      </c>
      <c r="AE1061" s="112">
        <v>2025</v>
      </c>
      <c r="AF1061" s="25"/>
      <c r="AG1061" s="91"/>
    </row>
    <row r="1062" spans="1:33" s="26" customFormat="1" ht="24" customHeight="1">
      <c r="A1062" s="18">
        <f t="shared" si="490"/>
        <v>608</v>
      </c>
      <c r="B1062" s="37" t="s">
        <v>256</v>
      </c>
      <c r="C1062" s="4">
        <f t="shared" si="491"/>
        <v>10951514.810000001</v>
      </c>
      <c r="D1062" s="9"/>
      <c r="E1062" s="9"/>
      <c r="F1062" s="9"/>
      <c r="G1062" s="12"/>
      <c r="H1062" s="13"/>
      <c r="I1062" s="13"/>
      <c r="J1062" s="21"/>
      <c r="K1062" s="9"/>
      <c r="L1062" s="12"/>
      <c r="M1062" s="22"/>
      <c r="N1062" s="22"/>
      <c r="O1062" s="22"/>
      <c r="P1062" s="9">
        <v>8671613.3699999992</v>
      </c>
      <c r="Q1062" s="9"/>
      <c r="R1062" s="9"/>
      <c r="S1062" s="13">
        <f>1266.8*1135.41</f>
        <v>1438337.39</v>
      </c>
      <c r="T1062" s="110"/>
      <c r="U1062" s="110"/>
      <c r="V1062" s="11">
        <f>256334.12+433580.67</f>
        <v>689914.79</v>
      </c>
      <c r="W1062" s="24">
        <f>(D1062+F1062+G1062+H1062+I1062+K1062+L1062+M1062+O1062+P1062+Q1062+R1062+S1062)*1.5%</f>
        <v>151649.26</v>
      </c>
      <c r="X1062" s="21"/>
      <c r="Y1062" s="21"/>
      <c r="Z1062" s="21"/>
      <c r="AA1062" s="21"/>
      <c r="AB1062" s="24">
        <f t="shared" si="489"/>
        <v>10951514.810000001</v>
      </c>
      <c r="AC1062" s="18"/>
      <c r="AD1062" s="18">
        <v>2024</v>
      </c>
      <c r="AE1062" s="18">
        <v>2024</v>
      </c>
      <c r="AF1062" s="25"/>
      <c r="AG1062" s="91"/>
    </row>
    <row r="1063" spans="1:33" s="148" customFormat="1" ht="24" customHeight="1">
      <c r="A1063" s="883" t="s">
        <v>180</v>
      </c>
      <c r="B1063" s="883"/>
      <c r="C1063" s="16">
        <f>SUM(C1058:C1062)</f>
        <v>45473629.469999999</v>
      </c>
      <c r="D1063" s="16">
        <f t="shared" ref="D1063:AB1063" si="493">SUM(D1058:D1062)</f>
        <v>0</v>
      </c>
      <c r="E1063" s="16">
        <f t="shared" si="493"/>
        <v>0</v>
      </c>
      <c r="F1063" s="16">
        <f t="shared" si="493"/>
        <v>0</v>
      </c>
      <c r="G1063" s="6">
        <f t="shared" si="493"/>
        <v>0</v>
      </c>
      <c r="H1063" s="16">
        <f t="shared" si="493"/>
        <v>0</v>
      </c>
      <c r="I1063" s="16">
        <f t="shared" si="493"/>
        <v>0</v>
      </c>
      <c r="J1063" s="16">
        <f t="shared" si="493"/>
        <v>0</v>
      </c>
      <c r="K1063" s="16">
        <f t="shared" si="493"/>
        <v>0</v>
      </c>
      <c r="L1063" s="16">
        <f t="shared" si="493"/>
        <v>0</v>
      </c>
      <c r="M1063" s="16">
        <f t="shared" si="493"/>
        <v>0</v>
      </c>
      <c r="N1063" s="16">
        <f t="shared" si="493"/>
        <v>0</v>
      </c>
      <c r="O1063" s="16">
        <f t="shared" si="493"/>
        <v>0</v>
      </c>
      <c r="P1063" s="16">
        <f t="shared" si="493"/>
        <v>39098228.909999996</v>
      </c>
      <c r="Q1063" s="16">
        <f t="shared" si="493"/>
        <v>0</v>
      </c>
      <c r="R1063" s="16">
        <f t="shared" si="493"/>
        <v>0</v>
      </c>
      <c r="S1063" s="16">
        <f t="shared" si="493"/>
        <v>2866683.17</v>
      </c>
      <c r="T1063" s="141"/>
      <c r="U1063" s="141"/>
      <c r="V1063" s="16">
        <f t="shared" si="493"/>
        <v>2879243.71</v>
      </c>
      <c r="W1063" s="16">
        <f t="shared" si="493"/>
        <v>629473.68000000005</v>
      </c>
      <c r="X1063" s="16">
        <f t="shared" si="493"/>
        <v>0</v>
      </c>
      <c r="Y1063" s="16">
        <f t="shared" si="493"/>
        <v>0</v>
      </c>
      <c r="Z1063" s="16">
        <f t="shared" si="493"/>
        <v>0</v>
      </c>
      <c r="AA1063" s="16">
        <f t="shared" si="493"/>
        <v>0</v>
      </c>
      <c r="AB1063" s="16">
        <f t="shared" si="493"/>
        <v>45473629.469999999</v>
      </c>
      <c r="AC1063" s="798"/>
      <c r="AD1063" s="798" t="s">
        <v>29</v>
      </c>
      <c r="AE1063" s="798" t="s">
        <v>29</v>
      </c>
      <c r="AF1063" s="146"/>
      <c r="AG1063" s="147"/>
    </row>
    <row r="1064" spans="1:33" ht="24" customHeight="1">
      <c r="A1064" s="884" t="s">
        <v>1293</v>
      </c>
      <c r="B1064" s="884"/>
      <c r="C1064" s="884"/>
      <c r="D1064" s="884"/>
      <c r="E1064" s="884"/>
      <c r="F1064" s="884"/>
      <c r="G1064" s="884"/>
      <c r="H1064" s="884"/>
      <c r="I1064" s="884"/>
      <c r="J1064" s="884"/>
      <c r="K1064" s="884"/>
      <c r="L1064" s="884"/>
      <c r="M1064" s="884"/>
      <c r="N1064" s="884"/>
      <c r="O1064" s="884"/>
      <c r="P1064" s="884"/>
      <c r="Q1064" s="884"/>
      <c r="R1064" s="884"/>
      <c r="S1064" s="884"/>
      <c r="T1064" s="884"/>
      <c r="U1064" s="884"/>
      <c r="V1064" s="884"/>
      <c r="W1064" s="884"/>
      <c r="X1064" s="884"/>
      <c r="Y1064" s="884"/>
      <c r="Z1064" s="884"/>
      <c r="AA1064" s="884"/>
      <c r="AB1064" s="884"/>
      <c r="AC1064" s="884"/>
      <c r="AD1064" s="884"/>
      <c r="AE1064" s="884"/>
      <c r="AF1064" s="808"/>
      <c r="AG1064" s="806"/>
    </row>
    <row r="1065" spans="1:33" s="95" customFormat="1" ht="24" customHeight="1">
      <c r="A1065" s="18">
        <f>A1062+1</f>
        <v>609</v>
      </c>
      <c r="B1065" s="85" t="s">
        <v>593</v>
      </c>
      <c r="C1065" s="4">
        <f t="shared" ref="C1065" si="494">D1065+F1065+G1065+H1065+I1065+K1065+L1065+M1065+O1065+P1065+Q1065+R1065+S1065+W1065+V1065+X1065</f>
        <v>11549873.880000001</v>
      </c>
      <c r="D1065" s="9"/>
      <c r="E1065" s="36"/>
      <c r="F1065" s="9"/>
      <c r="G1065" s="12"/>
      <c r="H1065" s="13"/>
      <c r="I1065" s="13"/>
      <c r="J1065" s="21"/>
      <c r="K1065" s="9"/>
      <c r="L1065" s="12"/>
      <c r="M1065" s="22"/>
      <c r="N1065" s="420">
        <v>3</v>
      </c>
      <c r="O1065" s="12">
        <f>3614984*N1065</f>
        <v>10844952</v>
      </c>
      <c r="P1065" s="9"/>
      <c r="Q1065" s="9"/>
      <c r="R1065" s="9"/>
      <c r="S1065" s="13"/>
      <c r="T1065" s="110"/>
      <c r="U1065" s="110"/>
      <c r="V1065" s="56">
        <v>542247.6</v>
      </c>
      <c r="W1065" s="24">
        <v>162674.28</v>
      </c>
      <c r="X1065" s="21"/>
      <c r="Y1065" s="21"/>
      <c r="Z1065" s="21"/>
      <c r="AA1065" s="21"/>
      <c r="AB1065" s="4">
        <f>C1065</f>
        <v>11549873.880000001</v>
      </c>
      <c r="AC1065" s="18"/>
      <c r="AD1065" s="18">
        <v>2024</v>
      </c>
      <c r="AE1065" s="18">
        <v>2025</v>
      </c>
      <c r="AF1065" s="94"/>
      <c r="AG1065" s="145"/>
    </row>
    <row r="1066" spans="1:33" s="95" customFormat="1" ht="24" customHeight="1">
      <c r="A1066" s="18">
        <f>A1065+1</f>
        <v>610</v>
      </c>
      <c r="B1066" s="85" t="s">
        <v>594</v>
      </c>
      <c r="C1066" s="4">
        <f>D1066+F1066+G1066+H1066+I1066+K1066+L1066+M1066+O1066+P1066+Q1066+R1066+S1066+W1066+V1066+X1066</f>
        <v>15399831.84</v>
      </c>
      <c r="D1066" s="9"/>
      <c r="E1066" s="36"/>
      <c r="F1066" s="9"/>
      <c r="G1066" s="12"/>
      <c r="H1066" s="13"/>
      <c r="I1066" s="13"/>
      <c r="J1066" s="21"/>
      <c r="K1066" s="9"/>
      <c r="L1066" s="12"/>
      <c r="M1066" s="22"/>
      <c r="N1066" s="420">
        <v>4</v>
      </c>
      <c r="O1066" s="12">
        <f>3614984*N1066</f>
        <v>14459936</v>
      </c>
      <c r="P1066" s="9"/>
      <c r="Q1066" s="9"/>
      <c r="R1066" s="9"/>
      <c r="S1066" s="13"/>
      <c r="T1066" s="110"/>
      <c r="U1066" s="110"/>
      <c r="V1066" s="56">
        <v>722996.8</v>
      </c>
      <c r="W1066" s="24">
        <v>216899.04</v>
      </c>
      <c r="X1066" s="21"/>
      <c r="Y1066" s="21"/>
      <c r="Z1066" s="21"/>
      <c r="AA1066" s="21"/>
      <c r="AB1066" s="4">
        <f>C1066</f>
        <v>15399831.84</v>
      </c>
      <c r="AC1066" s="18"/>
      <c r="AD1066" s="18">
        <v>2024</v>
      </c>
      <c r="AE1066" s="18">
        <v>2025</v>
      </c>
      <c r="AF1066" s="94"/>
      <c r="AG1066" s="145"/>
    </row>
    <row r="1067" spans="1:33" s="95" customFormat="1" ht="24" customHeight="1">
      <c r="A1067" s="883" t="s">
        <v>180</v>
      </c>
      <c r="B1067" s="883"/>
      <c r="C1067" s="16">
        <f>SUM(C1065:C1066)</f>
        <v>26949705.719999999</v>
      </c>
      <c r="D1067" s="16">
        <f t="shared" ref="D1067:R1067" si="495">SUM(D1065:D1066)</f>
        <v>0</v>
      </c>
      <c r="E1067" s="16">
        <f t="shared" si="495"/>
        <v>0</v>
      </c>
      <c r="F1067" s="16">
        <f t="shared" si="495"/>
        <v>0</v>
      </c>
      <c r="G1067" s="16">
        <f t="shared" si="495"/>
        <v>0</v>
      </c>
      <c r="H1067" s="16">
        <f t="shared" si="495"/>
        <v>0</v>
      </c>
      <c r="I1067" s="16">
        <f t="shared" si="495"/>
        <v>0</v>
      </c>
      <c r="J1067" s="16">
        <f t="shared" si="495"/>
        <v>0</v>
      </c>
      <c r="K1067" s="16">
        <f t="shared" si="495"/>
        <v>0</v>
      </c>
      <c r="L1067" s="16">
        <f t="shared" si="495"/>
        <v>0</v>
      </c>
      <c r="M1067" s="16">
        <f t="shared" si="495"/>
        <v>0</v>
      </c>
      <c r="N1067" s="845">
        <f t="shared" si="495"/>
        <v>7</v>
      </c>
      <c r="O1067" s="16">
        <f t="shared" si="495"/>
        <v>25304888</v>
      </c>
      <c r="P1067" s="16">
        <f t="shared" si="495"/>
        <v>0</v>
      </c>
      <c r="Q1067" s="16">
        <f t="shared" si="495"/>
        <v>0</v>
      </c>
      <c r="R1067" s="16">
        <f t="shared" si="495"/>
        <v>0</v>
      </c>
      <c r="S1067" s="16">
        <f>SUM(S1065:S1066)</f>
        <v>0</v>
      </c>
      <c r="T1067" s="141"/>
      <c r="U1067" s="141"/>
      <c r="V1067" s="16">
        <f t="shared" ref="V1067:AB1067" si="496">SUM(V1065:V1066)</f>
        <v>1265244.3999999999</v>
      </c>
      <c r="W1067" s="16">
        <f t="shared" si="496"/>
        <v>379573.32</v>
      </c>
      <c r="X1067" s="16">
        <f t="shared" si="496"/>
        <v>0</v>
      </c>
      <c r="Y1067" s="16">
        <f t="shared" si="496"/>
        <v>0</v>
      </c>
      <c r="Z1067" s="16">
        <f t="shared" si="496"/>
        <v>0</v>
      </c>
      <c r="AA1067" s="16">
        <f t="shared" si="496"/>
        <v>0</v>
      </c>
      <c r="AB1067" s="16">
        <f t="shared" si="496"/>
        <v>26949705.719999999</v>
      </c>
      <c r="AC1067" s="798"/>
      <c r="AD1067" s="798" t="s">
        <v>29</v>
      </c>
      <c r="AE1067" s="798" t="s">
        <v>29</v>
      </c>
      <c r="AF1067" s="94"/>
      <c r="AG1067" s="145"/>
    </row>
    <row r="1068" spans="1:33" s="148" customFormat="1" ht="29.25" customHeight="1">
      <c r="A1068" s="881" t="s">
        <v>1305</v>
      </c>
      <c r="B1068" s="882"/>
      <c r="C1068" s="16">
        <f t="shared" ref="C1068:AC1068" si="497">C1063+C1056+C1046+C1030+C1025+C1053+C1067</f>
        <v>504548529.83999997</v>
      </c>
      <c r="D1068" s="16">
        <f t="shared" si="497"/>
        <v>975071.64</v>
      </c>
      <c r="E1068" s="396">
        <f t="shared" si="497"/>
        <v>3</v>
      </c>
      <c r="F1068" s="16">
        <f t="shared" si="497"/>
        <v>4838427</v>
      </c>
      <c r="G1068" s="16">
        <f t="shared" si="497"/>
        <v>8128767.8700000001</v>
      </c>
      <c r="H1068" s="16">
        <f t="shared" si="497"/>
        <v>10731229.99</v>
      </c>
      <c r="I1068" s="16">
        <f t="shared" si="497"/>
        <v>36525504.590000004</v>
      </c>
      <c r="J1068" s="16">
        <f t="shared" si="497"/>
        <v>2</v>
      </c>
      <c r="K1068" s="16">
        <f t="shared" si="497"/>
        <v>5542680</v>
      </c>
      <c r="L1068" s="16">
        <f t="shared" si="497"/>
        <v>17803577.120000001</v>
      </c>
      <c r="M1068" s="16">
        <f t="shared" si="497"/>
        <v>0</v>
      </c>
      <c r="N1068" s="845">
        <f t="shared" si="497"/>
        <v>16</v>
      </c>
      <c r="O1068" s="16">
        <f t="shared" si="497"/>
        <v>56533489.240000002</v>
      </c>
      <c r="P1068" s="16">
        <f t="shared" si="497"/>
        <v>186557572.47</v>
      </c>
      <c r="Q1068" s="16">
        <f t="shared" si="497"/>
        <v>7241756.1399999997</v>
      </c>
      <c r="R1068" s="16">
        <f t="shared" si="497"/>
        <v>112078080.09999999</v>
      </c>
      <c r="S1068" s="16">
        <f t="shared" si="497"/>
        <v>27172208.789999999</v>
      </c>
      <c r="T1068" s="141"/>
      <c r="U1068" s="141"/>
      <c r="V1068" s="16">
        <f t="shared" si="497"/>
        <v>24660666.359999999</v>
      </c>
      <c r="W1068" s="16">
        <f t="shared" si="497"/>
        <v>5759498.5300000003</v>
      </c>
      <c r="X1068" s="16">
        <f t="shared" si="497"/>
        <v>0</v>
      </c>
      <c r="Y1068" s="16">
        <f t="shared" si="497"/>
        <v>211689646.06</v>
      </c>
      <c r="Z1068" s="16">
        <f t="shared" si="497"/>
        <v>36081797.420000002</v>
      </c>
      <c r="AA1068" s="16">
        <f t="shared" si="497"/>
        <v>0</v>
      </c>
      <c r="AB1068" s="16">
        <f t="shared" si="497"/>
        <v>256777086.36000001</v>
      </c>
      <c r="AC1068" s="16">
        <f t="shared" si="497"/>
        <v>0</v>
      </c>
      <c r="AD1068" s="798" t="s">
        <v>29</v>
      </c>
      <c r="AE1068" s="798" t="s">
        <v>29</v>
      </c>
      <c r="AF1068" s="146"/>
      <c r="AG1068" s="147"/>
    </row>
    <row r="1069" spans="1:33" s="148" customFormat="1" ht="24" customHeight="1">
      <c r="A1069" s="885" t="s">
        <v>1295</v>
      </c>
      <c r="B1069" s="886"/>
      <c r="C1069" s="886"/>
      <c r="D1069" s="886"/>
      <c r="E1069" s="886"/>
      <c r="F1069" s="886"/>
      <c r="G1069" s="886"/>
      <c r="H1069" s="886"/>
      <c r="I1069" s="886"/>
      <c r="J1069" s="886"/>
      <c r="K1069" s="886"/>
      <c r="L1069" s="886"/>
      <c r="M1069" s="886"/>
      <c r="N1069" s="886"/>
      <c r="O1069" s="886"/>
      <c r="P1069" s="886"/>
      <c r="Q1069" s="886"/>
      <c r="R1069" s="886"/>
      <c r="S1069" s="886"/>
      <c r="T1069" s="886"/>
      <c r="U1069" s="886"/>
      <c r="V1069" s="886"/>
      <c r="W1069" s="886"/>
      <c r="X1069" s="886"/>
      <c r="Y1069" s="886"/>
      <c r="Z1069" s="886"/>
      <c r="AA1069" s="886"/>
      <c r="AB1069" s="886"/>
      <c r="AC1069" s="886"/>
      <c r="AD1069" s="886"/>
      <c r="AE1069" s="887"/>
      <c r="AF1069" s="146"/>
      <c r="AG1069" s="147"/>
    </row>
    <row r="1070" spans="1:33" ht="24" customHeight="1">
      <c r="A1070" s="884" t="s">
        <v>1296</v>
      </c>
      <c r="B1070" s="884"/>
      <c r="C1070" s="884"/>
      <c r="D1070" s="884"/>
      <c r="E1070" s="884"/>
      <c r="F1070" s="884"/>
      <c r="G1070" s="884"/>
      <c r="H1070" s="884"/>
      <c r="I1070" s="884"/>
      <c r="J1070" s="884"/>
      <c r="K1070" s="884"/>
      <c r="L1070" s="884"/>
      <c r="M1070" s="884"/>
      <c r="N1070" s="884"/>
      <c r="O1070" s="884"/>
      <c r="P1070" s="884"/>
      <c r="Q1070" s="884"/>
      <c r="R1070" s="884"/>
      <c r="S1070" s="884"/>
      <c r="T1070" s="884"/>
      <c r="U1070" s="884"/>
      <c r="V1070" s="884"/>
      <c r="W1070" s="884"/>
      <c r="X1070" s="884"/>
      <c r="Y1070" s="884"/>
      <c r="Z1070" s="884"/>
      <c r="AA1070" s="884"/>
      <c r="AB1070" s="884"/>
      <c r="AC1070" s="884"/>
      <c r="AD1070" s="884"/>
      <c r="AE1070" s="884"/>
      <c r="AF1070" s="808"/>
      <c r="AG1070" s="806"/>
    </row>
    <row r="1071" spans="1:33" s="26" customFormat="1" ht="24" customHeight="1">
      <c r="A1071" s="18">
        <f>A1066+1</f>
        <v>611</v>
      </c>
      <c r="B1071" s="59" t="s">
        <v>258</v>
      </c>
      <c r="C1071" s="4">
        <f>D1071+F1071+G1071+H1071+I1071+K1071+L1071+M1071+O1071+P1071+Q1071+R1071+S1071+W1071+V1071+X1071</f>
        <v>3037801.66</v>
      </c>
      <c r="D1071" s="9"/>
      <c r="E1071" s="9"/>
      <c r="F1071" s="9"/>
      <c r="G1071" s="12"/>
      <c r="H1071" s="13"/>
      <c r="I1071" s="13"/>
      <c r="J1071" s="21"/>
      <c r="K1071" s="9"/>
      <c r="L1071" s="12"/>
      <c r="M1071" s="22"/>
      <c r="N1071" s="420">
        <v>1</v>
      </c>
      <c r="O1071" s="47">
        <f>(3037801.66-V1071)/101.5*100</f>
        <v>2918085.34</v>
      </c>
      <c r="P1071" s="11"/>
      <c r="Q1071" s="11"/>
      <c r="R1071" s="11"/>
      <c r="S1071" s="10"/>
      <c r="T1071" s="138"/>
      <c r="U1071" s="138"/>
      <c r="V1071" s="3">
        <v>75945.039999999994</v>
      </c>
      <c r="W1071" s="41">
        <f>O1071*1.5/100</f>
        <v>43771.28</v>
      </c>
      <c r="X1071" s="21"/>
      <c r="Y1071" s="21"/>
      <c r="Z1071" s="21"/>
      <c r="AA1071" s="21"/>
      <c r="AB1071" s="24">
        <f>C1071</f>
        <v>3037801.66</v>
      </c>
      <c r="AC1071" s="18"/>
      <c r="AD1071" s="18">
        <v>2024</v>
      </c>
      <c r="AE1071" s="18">
        <v>2024</v>
      </c>
      <c r="AF1071" s="25"/>
      <c r="AG1071" s="91"/>
    </row>
    <row r="1072" spans="1:33" s="26" customFormat="1" ht="24" customHeight="1">
      <c r="A1072" s="18">
        <f>A1071+1</f>
        <v>612</v>
      </c>
      <c r="B1072" s="59" t="s">
        <v>1280</v>
      </c>
      <c r="C1072" s="4">
        <f>D1072+F1072+G1072+H1072+I1072+K1072+L1072+M1072+O1072+P1072+Q1072+R1072+S1072+W1072+V1072+X1072</f>
        <v>3037801.66</v>
      </c>
      <c r="D1072" s="9"/>
      <c r="E1072" s="9"/>
      <c r="F1072" s="9"/>
      <c r="G1072" s="12"/>
      <c r="H1072" s="13"/>
      <c r="I1072" s="13"/>
      <c r="J1072" s="21"/>
      <c r="K1072" s="9"/>
      <c r="L1072" s="12"/>
      <c r="M1072" s="22"/>
      <c r="N1072" s="420">
        <v>1</v>
      </c>
      <c r="O1072" s="47">
        <f>(3037801.66-V1072)/101.5*100</f>
        <v>2918085.34</v>
      </c>
      <c r="P1072" s="11"/>
      <c r="Q1072" s="11"/>
      <c r="R1072" s="11"/>
      <c r="S1072" s="10"/>
      <c r="T1072" s="138"/>
      <c r="U1072" s="138"/>
      <c r="V1072" s="3">
        <v>75945.039999999994</v>
      </c>
      <c r="W1072" s="41">
        <f>O1072*1.5/100</f>
        <v>43771.28</v>
      </c>
      <c r="X1072" s="21"/>
      <c r="Y1072" s="21"/>
      <c r="Z1072" s="21"/>
      <c r="AA1072" s="21"/>
      <c r="AB1072" s="24">
        <f t="shared" ref="AB1072:AB1074" si="498">C1072</f>
        <v>3037801.66</v>
      </c>
      <c r="AC1072" s="18"/>
      <c r="AD1072" s="18">
        <v>2024</v>
      </c>
      <c r="AE1072" s="18">
        <v>2024</v>
      </c>
      <c r="AF1072" s="25"/>
      <c r="AG1072" s="91"/>
    </row>
    <row r="1073" spans="1:33" s="26" customFormat="1" ht="24" customHeight="1">
      <c r="A1073" s="231">
        <f t="shared" ref="A1073:A1074" si="499">A1072+1</f>
        <v>613</v>
      </c>
      <c r="B1073" s="317" t="s">
        <v>334</v>
      </c>
      <c r="C1073" s="232">
        <f>D1073+F1073+G1073+H1073+I1073+K1073+L1073+M1073+O1073+P1073+Q1073+R1073+S1073+W1073+V1073+X1073</f>
        <v>3037801.66</v>
      </c>
      <c r="D1073" s="228"/>
      <c r="E1073" s="228"/>
      <c r="F1073" s="228"/>
      <c r="G1073" s="182"/>
      <c r="H1073" s="234"/>
      <c r="I1073" s="234"/>
      <c r="J1073" s="229"/>
      <c r="K1073" s="228"/>
      <c r="L1073" s="182"/>
      <c r="M1073" s="185"/>
      <c r="N1073" s="420">
        <v>1</v>
      </c>
      <c r="O1073" s="297">
        <f>(1*3037801.66-V1073)/101.5*100</f>
        <v>2918085.34</v>
      </c>
      <c r="P1073" s="228"/>
      <c r="Q1073" s="228"/>
      <c r="R1073" s="228"/>
      <c r="S1073" s="234"/>
      <c r="T1073" s="234"/>
      <c r="U1073" s="234"/>
      <c r="V1073" s="236">
        <v>75945.039999999994</v>
      </c>
      <c r="W1073" s="252">
        <f>O1073*1.5/100</f>
        <v>43771.28</v>
      </c>
      <c r="X1073" s="229"/>
      <c r="Y1073" s="229"/>
      <c r="Z1073" s="229"/>
      <c r="AA1073" s="229"/>
      <c r="AB1073" s="230">
        <f>C1073</f>
        <v>3037801.66</v>
      </c>
      <c r="AC1073" s="231"/>
      <c r="AD1073" s="231">
        <v>2024</v>
      </c>
      <c r="AE1073" s="231">
        <v>2024</v>
      </c>
      <c r="AF1073" s="91"/>
      <c r="AG1073" s="91"/>
    </row>
    <row r="1074" spans="1:33" s="26" customFormat="1" ht="24" customHeight="1">
      <c r="A1074" s="231">
        <f t="shared" si="499"/>
        <v>614</v>
      </c>
      <c r="B1074" s="59" t="s">
        <v>762</v>
      </c>
      <c r="C1074" s="4">
        <f>D1074+F1074+G1074+H1074+I1074+K1074+L1074+M1074+O1074+P1074+Q1074+R1074+S1074+W1074+V1074+X1074</f>
        <v>14941444.470000001</v>
      </c>
      <c r="D1074" s="160"/>
      <c r="E1074" s="160"/>
      <c r="F1074" s="160"/>
      <c r="G1074" s="155"/>
      <c r="H1074" s="162"/>
      <c r="I1074" s="162"/>
      <c r="J1074" s="161"/>
      <c r="K1074" s="160"/>
      <c r="L1074" s="155"/>
      <c r="M1074" s="157"/>
      <c r="N1074" s="166"/>
      <c r="O1074" s="167"/>
      <c r="P1074" s="168">
        <v>14029525.32</v>
      </c>
      <c r="Q1074" s="168"/>
      <c r="R1074" s="168"/>
      <c r="S1074" s="169"/>
      <c r="T1074" s="169"/>
      <c r="U1074" s="169"/>
      <c r="V1074" s="164">
        <v>701476.27</v>
      </c>
      <c r="W1074" s="41">
        <f>P1074*1.5/100</f>
        <v>210442.88</v>
      </c>
      <c r="X1074" s="161"/>
      <c r="Y1074" s="161"/>
      <c r="Z1074" s="161"/>
      <c r="AA1074" s="161"/>
      <c r="AB1074" s="24">
        <f t="shared" si="498"/>
        <v>14941444.470000001</v>
      </c>
      <c r="AC1074" s="163"/>
      <c r="AD1074" s="163">
        <v>2024</v>
      </c>
      <c r="AE1074" s="163">
        <v>2025</v>
      </c>
      <c r="AF1074" s="25"/>
      <c r="AG1074" s="91"/>
    </row>
    <row r="1075" spans="1:33" s="148" customFormat="1" ht="24" customHeight="1">
      <c r="A1075" s="883" t="s">
        <v>180</v>
      </c>
      <c r="B1075" s="883"/>
      <c r="C1075" s="16">
        <f>SUM(C1071:C1074)</f>
        <v>24054849.449999999</v>
      </c>
      <c r="D1075" s="16">
        <f t="shared" ref="D1075:AB1075" si="500">SUM(D1071:D1074)</f>
        <v>0</v>
      </c>
      <c r="E1075" s="16">
        <f t="shared" si="500"/>
        <v>0</v>
      </c>
      <c r="F1075" s="16">
        <f t="shared" si="500"/>
        <v>0</v>
      </c>
      <c r="G1075" s="16">
        <f t="shared" si="500"/>
        <v>0</v>
      </c>
      <c r="H1075" s="16">
        <f t="shared" si="500"/>
        <v>0</v>
      </c>
      <c r="I1075" s="16">
        <f t="shared" si="500"/>
        <v>0</v>
      </c>
      <c r="J1075" s="16">
        <f t="shared" si="500"/>
        <v>0</v>
      </c>
      <c r="K1075" s="16">
        <f t="shared" si="500"/>
        <v>0</v>
      </c>
      <c r="L1075" s="16">
        <f t="shared" si="500"/>
        <v>0</v>
      </c>
      <c r="M1075" s="16">
        <f t="shared" si="500"/>
        <v>0</v>
      </c>
      <c r="N1075" s="845">
        <f t="shared" si="500"/>
        <v>3</v>
      </c>
      <c r="O1075" s="16">
        <f t="shared" si="500"/>
        <v>8754256.0199999996</v>
      </c>
      <c r="P1075" s="16">
        <f t="shared" si="500"/>
        <v>14029525.32</v>
      </c>
      <c r="Q1075" s="16">
        <f t="shared" si="500"/>
        <v>0</v>
      </c>
      <c r="R1075" s="16">
        <f t="shared" si="500"/>
        <v>0</v>
      </c>
      <c r="S1075" s="16">
        <f t="shared" si="500"/>
        <v>0</v>
      </c>
      <c r="T1075" s="16">
        <f t="shared" si="500"/>
        <v>0</v>
      </c>
      <c r="U1075" s="16">
        <f t="shared" si="500"/>
        <v>0</v>
      </c>
      <c r="V1075" s="16">
        <f t="shared" si="500"/>
        <v>929311.39</v>
      </c>
      <c r="W1075" s="16">
        <f t="shared" si="500"/>
        <v>341756.72</v>
      </c>
      <c r="X1075" s="16">
        <f t="shared" si="500"/>
        <v>0</v>
      </c>
      <c r="Y1075" s="16">
        <f t="shared" si="500"/>
        <v>0</v>
      </c>
      <c r="Z1075" s="16">
        <f t="shared" si="500"/>
        <v>0</v>
      </c>
      <c r="AA1075" s="16">
        <f t="shared" si="500"/>
        <v>0</v>
      </c>
      <c r="AB1075" s="16">
        <f t="shared" si="500"/>
        <v>24054849.449999999</v>
      </c>
      <c r="AC1075" s="798"/>
      <c r="AD1075" s="798" t="s">
        <v>29</v>
      </c>
      <c r="AE1075" s="798" t="s">
        <v>29</v>
      </c>
      <c r="AF1075" s="146"/>
      <c r="AG1075" s="147"/>
    </row>
    <row r="1076" spans="1:33" ht="24" customHeight="1">
      <c r="A1076" s="884" t="s">
        <v>1306</v>
      </c>
      <c r="B1076" s="884"/>
      <c r="C1076" s="884"/>
      <c r="D1076" s="884"/>
      <c r="E1076" s="884"/>
      <c r="F1076" s="884"/>
      <c r="G1076" s="884"/>
      <c r="H1076" s="884"/>
      <c r="I1076" s="884"/>
      <c r="J1076" s="884"/>
      <c r="K1076" s="884"/>
      <c r="L1076" s="884"/>
      <c r="M1076" s="884"/>
      <c r="N1076" s="884"/>
      <c r="O1076" s="884"/>
      <c r="P1076" s="884"/>
      <c r="Q1076" s="884"/>
      <c r="R1076" s="884"/>
      <c r="S1076" s="884"/>
      <c r="T1076" s="884"/>
      <c r="U1076" s="884"/>
      <c r="V1076" s="884"/>
      <c r="W1076" s="884"/>
      <c r="X1076" s="884"/>
      <c r="Y1076" s="884"/>
      <c r="Z1076" s="884"/>
      <c r="AA1076" s="884"/>
      <c r="AB1076" s="884"/>
      <c r="AC1076" s="884"/>
      <c r="AD1076" s="884"/>
      <c r="AE1076" s="884"/>
      <c r="AF1076" s="808"/>
      <c r="AG1076" s="806"/>
    </row>
    <row r="1077" spans="1:33" s="26" customFormat="1" ht="24" customHeight="1">
      <c r="A1077" s="18">
        <f>A1074+1</f>
        <v>615</v>
      </c>
      <c r="B1077" s="37" t="s">
        <v>257</v>
      </c>
      <c r="C1077" s="4">
        <f>D1077+F1077+G1077+H1077+I1077+K1077+L1077+M1077+O1077+P1077+Q1077+R1077+S1077+W1077+V1077+X1077</f>
        <v>5483735.3799999999</v>
      </c>
      <c r="D1077" s="9"/>
      <c r="E1077" s="9"/>
      <c r="F1077" s="9"/>
      <c r="G1077" s="12"/>
      <c r="H1077" s="13"/>
      <c r="I1077" s="13"/>
      <c r="J1077" s="21"/>
      <c r="K1077" s="9"/>
      <c r="L1077" s="12"/>
      <c r="M1077" s="22"/>
      <c r="N1077" s="807"/>
      <c r="O1077" s="12"/>
      <c r="P1077" s="9"/>
      <c r="Q1077" s="9"/>
      <c r="R1077" s="9">
        <f>1244.6*3842.27</f>
        <v>4782089.24</v>
      </c>
      <c r="S1077" s="13"/>
      <c r="T1077" s="110"/>
      <c r="U1077" s="110"/>
      <c r="V1077" s="3">
        <v>629914.80000000005</v>
      </c>
      <c r="W1077" s="24">
        <f>ROUND((D1077+F1077+G1077+H1077+I1077+K1077+L1077+M1077+O1077+P1077+Q1077+R1077+S1077)*1.5%,2)</f>
        <v>71731.34</v>
      </c>
      <c r="X1077" s="21"/>
      <c r="Y1077" s="21"/>
      <c r="Z1077" s="21"/>
      <c r="AA1077" s="21"/>
      <c r="AB1077" s="24">
        <f>C1077</f>
        <v>5483735.3799999999</v>
      </c>
      <c r="AC1077" s="18"/>
      <c r="AD1077" s="18">
        <v>2024</v>
      </c>
      <c r="AE1077" s="18">
        <v>2024</v>
      </c>
      <c r="AF1077" s="25"/>
      <c r="AG1077" s="91"/>
    </row>
    <row r="1078" spans="1:33" s="26" customFormat="1" ht="24" customHeight="1">
      <c r="A1078" s="18">
        <f>A1077+1</f>
        <v>616</v>
      </c>
      <c r="B1078" s="37" t="s">
        <v>763</v>
      </c>
      <c r="C1078" s="4">
        <f>D1078+F1078+G1078+H1078+I1078+K1078+L1078+M1078+O1078+P1078+Q1078+R1078+S1078+W1078+V1078+X1078</f>
        <v>50164243.869999997</v>
      </c>
      <c r="D1078" s="160"/>
      <c r="E1078" s="160"/>
      <c r="F1078" s="160"/>
      <c r="G1078" s="155"/>
      <c r="H1078" s="162"/>
      <c r="I1078" s="162"/>
      <c r="J1078" s="161"/>
      <c r="K1078" s="160"/>
      <c r="L1078" s="155"/>
      <c r="M1078" s="157"/>
      <c r="N1078" s="166"/>
      <c r="O1078" s="155"/>
      <c r="P1078" s="160">
        <v>47102576.399999999</v>
      </c>
      <c r="Q1078" s="160"/>
      <c r="R1078" s="160"/>
      <c r="S1078" s="162"/>
      <c r="T1078" s="162"/>
      <c r="U1078" s="162"/>
      <c r="V1078" s="164">
        <v>2355128.8199999998</v>
      </c>
      <c r="W1078" s="24">
        <f>ROUND((D1078+F1078+G1078+H1078+I1078+K1078+L1078+M1078+O1078+P1078+Q1078+R1078+S1078)*1.5%,2)</f>
        <v>706538.65</v>
      </c>
      <c r="X1078" s="161"/>
      <c r="Y1078" s="161"/>
      <c r="Z1078" s="161"/>
      <c r="AA1078" s="161"/>
      <c r="AB1078" s="24">
        <f>C1078</f>
        <v>50164243.869999997</v>
      </c>
      <c r="AC1078" s="163"/>
      <c r="AD1078" s="163">
        <v>2024</v>
      </c>
      <c r="AE1078" s="163">
        <v>2025</v>
      </c>
      <c r="AF1078" s="25"/>
      <c r="AG1078" s="91"/>
    </row>
    <row r="1079" spans="1:33" s="148" customFormat="1" ht="24" customHeight="1">
      <c r="A1079" s="883" t="s">
        <v>180</v>
      </c>
      <c r="B1079" s="883"/>
      <c r="C1079" s="16">
        <f>SUM(C1077:C1078)</f>
        <v>55647979.25</v>
      </c>
      <c r="D1079" s="16">
        <f t="shared" ref="D1079:AB1079" si="501">SUM(D1077:D1078)</f>
        <v>0</v>
      </c>
      <c r="E1079" s="16">
        <f t="shared" si="501"/>
        <v>0</v>
      </c>
      <c r="F1079" s="16">
        <f t="shared" si="501"/>
        <v>0</v>
      </c>
      <c r="G1079" s="16">
        <f t="shared" si="501"/>
        <v>0</v>
      </c>
      <c r="H1079" s="16">
        <f t="shared" si="501"/>
        <v>0</v>
      </c>
      <c r="I1079" s="16">
        <f t="shared" si="501"/>
        <v>0</v>
      </c>
      <c r="J1079" s="16">
        <f t="shared" si="501"/>
        <v>0</v>
      </c>
      <c r="K1079" s="16">
        <f t="shared" si="501"/>
        <v>0</v>
      </c>
      <c r="L1079" s="16">
        <f t="shared" si="501"/>
        <v>0</v>
      </c>
      <c r="M1079" s="16">
        <f t="shared" si="501"/>
        <v>0</v>
      </c>
      <c r="N1079" s="16">
        <f t="shared" si="501"/>
        <v>0</v>
      </c>
      <c r="O1079" s="16">
        <f t="shared" si="501"/>
        <v>0</v>
      </c>
      <c r="P1079" s="16">
        <f t="shared" si="501"/>
        <v>47102576.399999999</v>
      </c>
      <c r="Q1079" s="16">
        <f t="shared" si="501"/>
        <v>0</v>
      </c>
      <c r="R1079" s="16">
        <f t="shared" si="501"/>
        <v>4782089.24</v>
      </c>
      <c r="S1079" s="16">
        <f t="shared" si="501"/>
        <v>0</v>
      </c>
      <c r="T1079" s="16">
        <f t="shared" si="501"/>
        <v>0</v>
      </c>
      <c r="U1079" s="16">
        <f t="shared" si="501"/>
        <v>0</v>
      </c>
      <c r="V1079" s="16">
        <f t="shared" si="501"/>
        <v>2985043.62</v>
      </c>
      <c r="W1079" s="16">
        <f t="shared" si="501"/>
        <v>778269.99</v>
      </c>
      <c r="X1079" s="16">
        <f t="shared" si="501"/>
        <v>0</v>
      </c>
      <c r="Y1079" s="16">
        <f t="shared" si="501"/>
        <v>0</v>
      </c>
      <c r="Z1079" s="16">
        <f t="shared" si="501"/>
        <v>0</v>
      </c>
      <c r="AA1079" s="16">
        <f t="shared" si="501"/>
        <v>0</v>
      </c>
      <c r="AB1079" s="16">
        <f t="shared" si="501"/>
        <v>55647979.25</v>
      </c>
      <c r="AC1079" s="798"/>
      <c r="AD1079" s="798" t="s">
        <v>29</v>
      </c>
      <c r="AE1079" s="798" t="s">
        <v>29</v>
      </c>
      <c r="AF1079" s="146"/>
      <c r="AG1079" s="147"/>
    </row>
    <row r="1080" spans="1:33" s="148" customFormat="1" ht="38.25" customHeight="1">
      <c r="A1080" s="881" t="s">
        <v>1307</v>
      </c>
      <c r="B1080" s="882"/>
      <c r="C1080" s="16">
        <f>C1079+C1075</f>
        <v>79702828.700000003</v>
      </c>
      <c r="D1080" s="16">
        <f t="shared" ref="D1080" si="502">D1079+D1075</f>
        <v>0</v>
      </c>
      <c r="E1080" s="16">
        <f t="shared" ref="E1080" si="503">E1079+E1075</f>
        <v>0</v>
      </c>
      <c r="F1080" s="16">
        <f t="shared" ref="F1080" si="504">F1079+F1075</f>
        <v>0</v>
      </c>
      <c r="G1080" s="6">
        <f t="shared" ref="G1080" si="505">G1079+G1075</f>
        <v>0</v>
      </c>
      <c r="H1080" s="16">
        <f t="shared" ref="H1080" si="506">H1079+H1075</f>
        <v>0</v>
      </c>
      <c r="I1080" s="16">
        <f t="shared" ref="I1080" si="507">I1079+I1075</f>
        <v>0</v>
      </c>
      <c r="J1080" s="16">
        <f t="shared" ref="J1080" si="508">J1079+J1075</f>
        <v>0</v>
      </c>
      <c r="K1080" s="16">
        <f t="shared" ref="K1080" si="509">K1079+K1075</f>
        <v>0</v>
      </c>
      <c r="L1080" s="16">
        <f t="shared" ref="L1080" si="510">L1079+L1075</f>
        <v>0</v>
      </c>
      <c r="M1080" s="16">
        <f t="shared" ref="M1080" si="511">M1079+M1075</f>
        <v>0</v>
      </c>
      <c r="N1080" s="798">
        <f t="shared" ref="N1080" si="512">N1079+N1075</f>
        <v>3</v>
      </c>
      <c r="O1080" s="16">
        <f t="shared" ref="O1080" si="513">O1079+O1075</f>
        <v>8754256.0199999996</v>
      </c>
      <c r="P1080" s="16">
        <f t="shared" ref="P1080" si="514">P1079+P1075</f>
        <v>61132101.719999999</v>
      </c>
      <c r="Q1080" s="16">
        <f t="shared" ref="Q1080" si="515">Q1079+Q1075</f>
        <v>0</v>
      </c>
      <c r="R1080" s="16">
        <f t="shared" ref="R1080" si="516">R1079+R1075</f>
        <v>4782089.24</v>
      </c>
      <c r="S1080" s="16">
        <f t="shared" ref="S1080" si="517">S1079+S1075</f>
        <v>0</v>
      </c>
      <c r="T1080" s="141"/>
      <c r="U1080" s="141"/>
      <c r="V1080" s="16">
        <f t="shared" ref="V1080" si="518">V1079+V1075</f>
        <v>3914355.01</v>
      </c>
      <c r="W1080" s="16">
        <f t="shared" ref="W1080" si="519">W1079+W1075</f>
        <v>1120026.71</v>
      </c>
      <c r="X1080" s="16">
        <f t="shared" ref="X1080" si="520">X1079+X1075</f>
        <v>0</v>
      </c>
      <c r="Y1080" s="16">
        <f t="shared" ref="Y1080" si="521">Y1079+Y1075</f>
        <v>0</v>
      </c>
      <c r="Z1080" s="16">
        <f t="shared" ref="Z1080" si="522">Z1079+Z1075</f>
        <v>0</v>
      </c>
      <c r="AA1080" s="16">
        <f t="shared" ref="AA1080" si="523">AA1079+AA1075</f>
        <v>0</v>
      </c>
      <c r="AB1080" s="16">
        <f t="shared" ref="AB1080" si="524">AB1079+AB1075</f>
        <v>79702828.700000003</v>
      </c>
      <c r="AC1080" s="16">
        <f t="shared" ref="AC1080" si="525">AC1079+AC1075</f>
        <v>0</v>
      </c>
      <c r="AD1080" s="798" t="s">
        <v>29</v>
      </c>
      <c r="AE1080" s="798" t="s">
        <v>29</v>
      </c>
      <c r="AF1080" s="146"/>
      <c r="AG1080" s="147"/>
    </row>
    <row r="1081" spans="1:33" s="148" customFormat="1" ht="24" customHeight="1">
      <c r="A1081" s="885" t="s">
        <v>1299</v>
      </c>
      <c r="B1081" s="886"/>
      <c r="C1081" s="886"/>
      <c r="D1081" s="886"/>
      <c r="E1081" s="886"/>
      <c r="F1081" s="886"/>
      <c r="G1081" s="886"/>
      <c r="H1081" s="886"/>
      <c r="I1081" s="886"/>
      <c r="J1081" s="886"/>
      <c r="K1081" s="886"/>
      <c r="L1081" s="886"/>
      <c r="M1081" s="886"/>
      <c r="N1081" s="886"/>
      <c r="O1081" s="886"/>
      <c r="P1081" s="886"/>
      <c r="Q1081" s="886"/>
      <c r="R1081" s="886"/>
      <c r="S1081" s="886"/>
      <c r="T1081" s="886"/>
      <c r="U1081" s="886"/>
      <c r="V1081" s="886"/>
      <c r="W1081" s="886"/>
      <c r="X1081" s="886"/>
      <c r="Y1081" s="886"/>
      <c r="Z1081" s="886"/>
      <c r="AA1081" s="886"/>
      <c r="AB1081" s="886"/>
      <c r="AC1081" s="886"/>
      <c r="AD1081" s="886"/>
      <c r="AE1081" s="887"/>
      <c r="AF1081" s="146"/>
      <c r="AG1081" s="147"/>
    </row>
    <row r="1082" spans="1:33" ht="24" customHeight="1">
      <c r="A1082" s="884" t="s">
        <v>1300</v>
      </c>
      <c r="B1082" s="884"/>
      <c r="C1082" s="884"/>
      <c r="D1082" s="884"/>
      <c r="E1082" s="884"/>
      <c r="F1082" s="884"/>
      <c r="G1082" s="884"/>
      <c r="H1082" s="884"/>
      <c r="I1082" s="884"/>
      <c r="J1082" s="884"/>
      <c r="K1082" s="884"/>
      <c r="L1082" s="884"/>
      <c r="M1082" s="884"/>
      <c r="N1082" s="884"/>
      <c r="O1082" s="884"/>
      <c r="P1082" s="884"/>
      <c r="Q1082" s="884"/>
      <c r="R1082" s="884"/>
      <c r="S1082" s="884"/>
      <c r="T1082" s="884"/>
      <c r="U1082" s="884"/>
      <c r="V1082" s="884"/>
      <c r="W1082" s="884"/>
      <c r="X1082" s="884"/>
      <c r="Y1082" s="884"/>
      <c r="Z1082" s="884"/>
      <c r="AA1082" s="884"/>
      <c r="AB1082" s="884"/>
      <c r="AC1082" s="884"/>
      <c r="AD1082" s="884"/>
      <c r="AE1082" s="884"/>
      <c r="AF1082" s="808"/>
      <c r="AG1082" s="806"/>
    </row>
    <row r="1083" spans="1:33" s="26" customFormat="1" ht="24" customHeight="1">
      <c r="A1083" s="18">
        <f>A1078+1</f>
        <v>617</v>
      </c>
      <c r="B1083" s="59" t="s">
        <v>259</v>
      </c>
      <c r="C1083" s="4">
        <f>D1083+F1083+G1083+H1083+I1083+K1083+L1083+M1083+O1083+P1083+Q1083+R1083+S1083+W1083+V1083+X1083</f>
        <v>6690331.7999999998</v>
      </c>
      <c r="D1083" s="9">
        <v>2708779.33</v>
      </c>
      <c r="E1083" s="9"/>
      <c r="F1083" s="9"/>
      <c r="G1083" s="12">
        <v>1532442.48</v>
      </c>
      <c r="H1083" s="13"/>
      <c r="I1083" s="13"/>
      <c r="J1083" s="21"/>
      <c r="K1083" s="9"/>
      <c r="L1083" s="12">
        <f>ROUND(2781.3*616.25,2)</f>
        <v>1713976.13</v>
      </c>
      <c r="M1083" s="22"/>
      <c r="N1083" s="807"/>
      <c r="O1083" s="12"/>
      <c r="P1083" s="9"/>
      <c r="Q1083" s="9"/>
      <c r="R1083" s="9"/>
      <c r="S1083" s="13"/>
      <c r="T1083" s="110"/>
      <c r="U1083" s="110"/>
      <c r="V1083" s="58">
        <f>433744.8+212061.09</f>
        <v>645805.89</v>
      </c>
      <c r="W1083" s="24">
        <f>ROUND((D1083+F1083+G1083+H1083+I1083+K1083+L1083+M1083+O1083+P1083+Q1083+R1083+S1083)*1.5%,2)</f>
        <v>89327.97</v>
      </c>
      <c r="X1083" s="21"/>
      <c r="Y1083" s="21"/>
      <c r="Z1083" s="21"/>
      <c r="AA1083" s="21"/>
      <c r="AB1083" s="24">
        <f>C1083</f>
        <v>6690331.7999999998</v>
      </c>
      <c r="AC1083" s="18"/>
      <c r="AD1083" s="18">
        <v>2024</v>
      </c>
      <c r="AE1083" s="18">
        <v>2025</v>
      </c>
      <c r="AF1083" s="25"/>
      <c r="AG1083" s="91"/>
    </row>
    <row r="1084" spans="1:33" s="148" customFormat="1" ht="24" customHeight="1">
      <c r="A1084" s="883" t="s">
        <v>180</v>
      </c>
      <c r="B1084" s="883"/>
      <c r="C1084" s="16">
        <f t="shared" ref="C1084:AB1084" si="526">SUM(C1083:C1083)</f>
        <v>6690331.7999999998</v>
      </c>
      <c r="D1084" s="16">
        <f t="shared" si="526"/>
        <v>2708779.33</v>
      </c>
      <c r="E1084" s="16">
        <f t="shared" si="526"/>
        <v>0</v>
      </c>
      <c r="F1084" s="16">
        <f t="shared" si="526"/>
        <v>0</v>
      </c>
      <c r="G1084" s="6">
        <f t="shared" si="526"/>
        <v>1532442.48</v>
      </c>
      <c r="H1084" s="16">
        <f t="shared" si="526"/>
        <v>0</v>
      </c>
      <c r="I1084" s="16">
        <f t="shared" si="526"/>
        <v>0</v>
      </c>
      <c r="J1084" s="16">
        <f t="shared" si="526"/>
        <v>0</v>
      </c>
      <c r="K1084" s="16">
        <f t="shared" si="526"/>
        <v>0</v>
      </c>
      <c r="L1084" s="16">
        <f t="shared" si="526"/>
        <v>1713976.13</v>
      </c>
      <c r="M1084" s="16">
        <f t="shared" si="526"/>
        <v>0</v>
      </c>
      <c r="N1084" s="16">
        <f t="shared" si="526"/>
        <v>0</v>
      </c>
      <c r="O1084" s="16">
        <f t="shared" si="526"/>
        <v>0</v>
      </c>
      <c r="P1084" s="16">
        <f t="shared" si="526"/>
        <v>0</v>
      </c>
      <c r="Q1084" s="16">
        <f t="shared" si="526"/>
        <v>0</v>
      </c>
      <c r="R1084" s="16">
        <f t="shared" si="526"/>
        <v>0</v>
      </c>
      <c r="S1084" s="16">
        <f t="shared" si="526"/>
        <v>0</v>
      </c>
      <c r="T1084" s="141"/>
      <c r="U1084" s="141"/>
      <c r="V1084" s="16">
        <f t="shared" si="526"/>
        <v>645805.89</v>
      </c>
      <c r="W1084" s="16">
        <f t="shared" si="526"/>
        <v>89327.97</v>
      </c>
      <c r="X1084" s="16">
        <f t="shared" si="526"/>
        <v>0</v>
      </c>
      <c r="Y1084" s="16">
        <f t="shared" si="526"/>
        <v>0</v>
      </c>
      <c r="Z1084" s="16">
        <f t="shared" si="526"/>
        <v>0</v>
      </c>
      <c r="AA1084" s="16">
        <f t="shared" si="526"/>
        <v>0</v>
      </c>
      <c r="AB1084" s="16">
        <f t="shared" si="526"/>
        <v>6690331.7999999998</v>
      </c>
      <c r="AC1084" s="798"/>
      <c r="AD1084" s="798" t="s">
        <v>29</v>
      </c>
      <c r="AE1084" s="798" t="s">
        <v>29</v>
      </c>
      <c r="AF1084" s="146"/>
      <c r="AG1084" s="147"/>
    </row>
    <row r="1085" spans="1:33" s="148" customFormat="1" ht="24" customHeight="1">
      <c r="A1085" s="881" t="s">
        <v>1308</v>
      </c>
      <c r="B1085" s="882"/>
      <c r="C1085" s="16">
        <f>SUM(C1084)</f>
        <v>6690331.7999999998</v>
      </c>
      <c r="D1085" s="16">
        <f t="shared" ref="D1085:AC1085" si="527">SUM(D1084)</f>
        <v>2708779.33</v>
      </c>
      <c r="E1085" s="16">
        <f t="shared" si="527"/>
        <v>0</v>
      </c>
      <c r="F1085" s="16">
        <f t="shared" si="527"/>
        <v>0</v>
      </c>
      <c r="G1085" s="6">
        <f t="shared" si="527"/>
        <v>1532442.48</v>
      </c>
      <c r="H1085" s="16">
        <f t="shared" si="527"/>
        <v>0</v>
      </c>
      <c r="I1085" s="16">
        <f t="shared" si="527"/>
        <v>0</v>
      </c>
      <c r="J1085" s="16">
        <f t="shared" si="527"/>
        <v>0</v>
      </c>
      <c r="K1085" s="16">
        <f t="shared" si="527"/>
        <v>0</v>
      </c>
      <c r="L1085" s="16">
        <f t="shared" si="527"/>
        <v>1713976.13</v>
      </c>
      <c r="M1085" s="16">
        <f t="shared" si="527"/>
        <v>0</v>
      </c>
      <c r="N1085" s="16">
        <f t="shared" si="527"/>
        <v>0</v>
      </c>
      <c r="O1085" s="16">
        <f t="shared" si="527"/>
        <v>0</v>
      </c>
      <c r="P1085" s="16">
        <f t="shared" si="527"/>
        <v>0</v>
      </c>
      <c r="Q1085" s="16">
        <f t="shared" si="527"/>
        <v>0</v>
      </c>
      <c r="R1085" s="16">
        <f t="shared" si="527"/>
        <v>0</v>
      </c>
      <c r="S1085" s="16">
        <f t="shared" si="527"/>
        <v>0</v>
      </c>
      <c r="T1085" s="141"/>
      <c r="U1085" s="141"/>
      <c r="V1085" s="16">
        <f t="shared" si="527"/>
        <v>645805.89</v>
      </c>
      <c r="W1085" s="16">
        <f t="shared" si="527"/>
        <v>89327.97</v>
      </c>
      <c r="X1085" s="16">
        <f t="shared" si="527"/>
        <v>0</v>
      </c>
      <c r="Y1085" s="16">
        <f t="shared" si="527"/>
        <v>0</v>
      </c>
      <c r="Z1085" s="16">
        <f t="shared" si="527"/>
        <v>0</v>
      </c>
      <c r="AA1085" s="16">
        <f t="shared" si="527"/>
        <v>0</v>
      </c>
      <c r="AB1085" s="16">
        <f t="shared" si="527"/>
        <v>6690331.7999999998</v>
      </c>
      <c r="AC1085" s="16">
        <f t="shared" si="527"/>
        <v>0</v>
      </c>
      <c r="AD1085" s="798" t="s">
        <v>29</v>
      </c>
      <c r="AE1085" s="798" t="s">
        <v>29</v>
      </c>
      <c r="AF1085" s="146"/>
      <c r="AG1085" s="147"/>
    </row>
    <row r="1086" spans="1:33" ht="24" customHeight="1">
      <c r="A1086" s="883" t="s">
        <v>261</v>
      </c>
      <c r="B1086" s="883"/>
      <c r="C1086" s="16">
        <f t="shared" ref="C1086:AC1086" si="528">C1097+C1110+C1117+C1129+C1292+C1315+C1321+C1369+C1397+C1403+C1407+C1453+C1459+C1479+C1504+C1518+C1525</f>
        <v>5273399595.3900003</v>
      </c>
      <c r="D1086" s="16">
        <f t="shared" si="528"/>
        <v>59346723.840000004</v>
      </c>
      <c r="E1086" s="396">
        <f t="shared" si="528"/>
        <v>41</v>
      </c>
      <c r="F1086" s="16">
        <f t="shared" si="528"/>
        <v>65925355.450000003</v>
      </c>
      <c r="G1086" s="16">
        <f t="shared" si="528"/>
        <v>77763942.709999993</v>
      </c>
      <c r="H1086" s="16">
        <f t="shared" si="528"/>
        <v>84013664.950000003</v>
      </c>
      <c r="I1086" s="16">
        <f t="shared" si="528"/>
        <v>337855372.30000001</v>
      </c>
      <c r="J1086" s="396">
        <f t="shared" si="528"/>
        <v>45</v>
      </c>
      <c r="K1086" s="16">
        <f t="shared" si="528"/>
        <v>123452069.98</v>
      </c>
      <c r="L1086" s="16">
        <f t="shared" si="528"/>
        <v>97584538.420000002</v>
      </c>
      <c r="M1086" s="16">
        <f t="shared" si="528"/>
        <v>21680076</v>
      </c>
      <c r="N1086" s="396">
        <f t="shared" si="528"/>
        <v>110</v>
      </c>
      <c r="O1086" s="16">
        <f t="shared" si="528"/>
        <v>394883152.33999997</v>
      </c>
      <c r="P1086" s="16">
        <f t="shared" si="528"/>
        <v>1622488151.3199999</v>
      </c>
      <c r="Q1086" s="16">
        <f t="shared" si="528"/>
        <v>78245886.620000005</v>
      </c>
      <c r="R1086" s="16">
        <f t="shared" si="528"/>
        <v>1737929376.6300001</v>
      </c>
      <c r="S1086" s="16">
        <f t="shared" si="528"/>
        <v>108129949.67</v>
      </c>
      <c r="T1086" s="396">
        <f t="shared" si="528"/>
        <v>149</v>
      </c>
      <c r="U1086" s="16">
        <f t="shared" si="528"/>
        <v>126249148.09</v>
      </c>
      <c r="V1086" s="16">
        <f t="shared" si="528"/>
        <v>264708560.28</v>
      </c>
      <c r="W1086" s="16">
        <f t="shared" si="528"/>
        <v>73092480.269999996</v>
      </c>
      <c r="X1086" s="16">
        <f t="shared" si="528"/>
        <v>51146.52</v>
      </c>
      <c r="Y1086" s="16">
        <f t="shared" si="528"/>
        <v>355707120.08999997</v>
      </c>
      <c r="Z1086" s="16">
        <f t="shared" si="528"/>
        <v>1681399978.3299999</v>
      </c>
      <c r="AA1086" s="16">
        <f t="shared" si="528"/>
        <v>0</v>
      </c>
      <c r="AB1086" s="16">
        <f t="shared" si="528"/>
        <v>3236292496.9699998</v>
      </c>
      <c r="AC1086" s="16">
        <f t="shared" si="528"/>
        <v>0</v>
      </c>
      <c r="AD1086" s="798" t="s">
        <v>29</v>
      </c>
      <c r="AE1086" s="798" t="s">
        <v>29</v>
      </c>
      <c r="AF1086" s="808"/>
      <c r="AG1086" s="806"/>
    </row>
    <row r="1087" spans="1:33" ht="24" customHeight="1">
      <c r="A1087" s="888" t="s">
        <v>351</v>
      </c>
      <c r="B1087" s="888"/>
      <c r="C1087" s="888"/>
      <c r="D1087" s="888"/>
      <c r="E1087" s="888"/>
      <c r="F1087" s="888"/>
      <c r="G1087" s="888"/>
      <c r="H1087" s="888"/>
      <c r="I1087" s="888"/>
      <c r="J1087" s="888"/>
      <c r="K1087" s="888"/>
      <c r="L1087" s="888"/>
      <c r="M1087" s="888"/>
      <c r="N1087" s="888"/>
      <c r="O1087" s="888"/>
      <c r="P1087" s="888"/>
      <c r="Q1087" s="888"/>
      <c r="R1087" s="888"/>
      <c r="S1087" s="888"/>
      <c r="T1087" s="889"/>
      <c r="U1087" s="889"/>
      <c r="V1087" s="888"/>
      <c r="W1087" s="888"/>
      <c r="X1087" s="888"/>
      <c r="Y1087" s="888"/>
      <c r="Z1087" s="888"/>
      <c r="AA1087" s="888"/>
      <c r="AB1087" s="888"/>
      <c r="AC1087" s="888"/>
      <c r="AD1087" s="888"/>
      <c r="AE1087" s="888"/>
      <c r="AF1087" s="808"/>
      <c r="AG1087" s="806"/>
    </row>
    <row r="1088" spans="1:33" ht="24" customHeight="1">
      <c r="A1088" s="426">
        <v>1</v>
      </c>
      <c r="B1088" s="569" t="s">
        <v>1011</v>
      </c>
      <c r="C1088" s="418">
        <f t="shared" ref="C1088" si="529">D1088+F1088+G1088+H1088+I1088+K1088+L1088+M1088+O1088+P1088+Q1088+R1088+S1088+V1088+W1088+X1088</f>
        <v>25824503.100000001</v>
      </c>
      <c r="D1088" s="510"/>
      <c r="E1088" s="510"/>
      <c r="F1088" s="510"/>
      <c r="G1088" s="568"/>
      <c r="H1088" s="510"/>
      <c r="I1088" s="510"/>
      <c r="J1088" s="510"/>
      <c r="K1088" s="510"/>
      <c r="L1088" s="568"/>
      <c r="M1088" s="568"/>
      <c r="N1088" s="568"/>
      <c r="O1088" s="568"/>
      <c r="P1088" s="496">
        <v>24248359.710000001</v>
      </c>
      <c r="Q1088" s="496"/>
      <c r="R1088" s="496"/>
      <c r="S1088" s="496"/>
      <c r="T1088" s="496"/>
      <c r="U1088" s="496"/>
      <c r="V1088" s="496">
        <v>1212417.99</v>
      </c>
      <c r="W1088" s="496">
        <v>363725.4</v>
      </c>
      <c r="X1088" s="510"/>
      <c r="Y1088" s="510"/>
      <c r="Z1088" s="510"/>
      <c r="AA1088" s="510"/>
      <c r="AB1088" s="496">
        <f>C1088</f>
        <v>25824503.100000001</v>
      </c>
      <c r="AC1088" s="510"/>
      <c r="AD1088" s="426">
        <v>2025</v>
      </c>
      <c r="AE1088" s="426">
        <v>2026</v>
      </c>
      <c r="AF1088" s="571"/>
      <c r="AG1088" s="571"/>
    </row>
    <row r="1089" spans="1:33" ht="24" customHeight="1">
      <c r="A1089" s="18">
        <f>A1088+1</f>
        <v>2</v>
      </c>
      <c r="B1089" s="64" t="s">
        <v>33</v>
      </c>
      <c r="C1089" s="4">
        <f t="shared" ref="C1089:C1096" si="530">D1089+F1089+G1089+H1089+I1089+K1089+L1089+M1089+O1089+P1089+Q1089+R1089+S1089+V1089+W1089+X1089</f>
        <v>11298916.359999999</v>
      </c>
      <c r="D1089" s="15"/>
      <c r="E1089" s="15"/>
      <c r="F1089" s="21"/>
      <c r="G1089" s="12"/>
      <c r="H1089" s="21"/>
      <c r="I1089" s="65">
        <f>3229*3201.73</f>
        <v>10338386.17</v>
      </c>
      <c r="J1089" s="21"/>
      <c r="K1089" s="21"/>
      <c r="L1089" s="22"/>
      <c r="M1089" s="22"/>
      <c r="N1089" s="22"/>
      <c r="O1089" s="22"/>
      <c r="P1089" s="9"/>
      <c r="Q1089" s="23"/>
      <c r="R1089" s="23"/>
      <c r="S1089" s="23"/>
      <c r="T1089" s="120"/>
      <c r="U1089" s="120"/>
      <c r="V1089" s="63">
        <v>805454.4</v>
      </c>
      <c r="W1089" s="9">
        <f t="shared" ref="W1089:W1096" si="531">ROUND((D1089+F1089+G1089+H1089+I1089+K1089+L1089+M1089+O1089+P1089+Q1089+R1089+S1089)*1.5%,2)</f>
        <v>155075.79</v>
      </c>
      <c r="X1089" s="15"/>
      <c r="Y1089" s="15"/>
      <c r="Z1089" s="15"/>
      <c r="AA1089" s="15"/>
      <c r="AB1089" s="9">
        <f t="shared" ref="AB1089:AB1096" si="532">C1089</f>
        <v>11298916.359999999</v>
      </c>
      <c r="AC1089" s="18"/>
      <c r="AD1089" s="18">
        <v>2025</v>
      </c>
      <c r="AE1089" s="18">
        <v>2025</v>
      </c>
      <c r="AF1089" s="806"/>
      <c r="AG1089" s="806"/>
    </row>
    <row r="1090" spans="1:33" ht="24" customHeight="1">
      <c r="A1090" s="18">
        <f t="shared" ref="A1090:A1096" si="533">A1089+1</f>
        <v>3</v>
      </c>
      <c r="B1090" s="569" t="s">
        <v>1012</v>
      </c>
      <c r="C1090" s="418">
        <f t="shared" si="530"/>
        <v>8982184.2400000002</v>
      </c>
      <c r="D1090" s="572"/>
      <c r="E1090" s="572"/>
      <c r="F1090" s="420"/>
      <c r="G1090" s="421"/>
      <c r="H1090" s="420"/>
      <c r="I1090" s="570"/>
      <c r="J1090" s="420"/>
      <c r="K1090" s="420"/>
      <c r="L1090" s="422"/>
      <c r="M1090" s="422"/>
      <c r="N1090" s="422"/>
      <c r="O1090" s="422"/>
      <c r="P1090" s="428"/>
      <c r="Q1090" s="438"/>
      <c r="R1090" s="438">
        <v>8433975.8100000005</v>
      </c>
      <c r="S1090" s="438"/>
      <c r="T1090" s="438"/>
      <c r="U1090" s="438"/>
      <c r="V1090" s="440">
        <v>421698.79</v>
      </c>
      <c r="W1090" s="428">
        <v>126509.64</v>
      </c>
      <c r="X1090" s="572"/>
      <c r="Y1090" s="572"/>
      <c r="Z1090" s="572"/>
      <c r="AA1090" s="572"/>
      <c r="AB1090" s="428">
        <f>C1090</f>
        <v>8982184.2400000002</v>
      </c>
      <c r="AC1090" s="426"/>
      <c r="AD1090" s="426">
        <v>2025</v>
      </c>
      <c r="AE1090" s="426">
        <v>2026</v>
      </c>
      <c r="AF1090" s="571"/>
      <c r="AG1090" s="571"/>
    </row>
    <row r="1091" spans="1:33" ht="24" customHeight="1">
      <c r="A1091" s="18">
        <f t="shared" si="533"/>
        <v>4</v>
      </c>
      <c r="B1091" s="64" t="s">
        <v>34</v>
      </c>
      <c r="C1091" s="4">
        <f t="shared" si="530"/>
        <v>13232455.449999999</v>
      </c>
      <c r="D1091" s="15"/>
      <c r="E1091" s="15"/>
      <c r="F1091" s="21"/>
      <c r="G1091" s="12"/>
      <c r="H1091" s="21"/>
      <c r="I1091" s="65">
        <f>3168*3201.73</f>
        <v>10143080.640000001</v>
      </c>
      <c r="J1091" s="21"/>
      <c r="K1091" s="21"/>
      <c r="L1091" s="12">
        <f>3168*616.25</f>
        <v>1952280</v>
      </c>
      <c r="M1091" s="22"/>
      <c r="N1091" s="22"/>
      <c r="O1091" s="22"/>
      <c r="P1091" s="9"/>
      <c r="Q1091" s="23"/>
      <c r="R1091" s="23"/>
      <c r="S1091" s="23"/>
      <c r="T1091" s="120"/>
      <c r="U1091" s="120"/>
      <c r="V1091" s="63">
        <v>955664.4</v>
      </c>
      <c r="W1091" s="9">
        <f t="shared" si="531"/>
        <v>181430.41</v>
      </c>
      <c r="X1091" s="15"/>
      <c r="Y1091" s="15"/>
      <c r="Z1091" s="15"/>
      <c r="AA1091" s="15"/>
      <c r="AB1091" s="9">
        <f t="shared" si="532"/>
        <v>13232455.449999999</v>
      </c>
      <c r="AC1091" s="18"/>
      <c r="AD1091" s="18">
        <v>2025</v>
      </c>
      <c r="AE1091" s="18">
        <v>2025</v>
      </c>
      <c r="AF1091" s="806"/>
      <c r="AG1091" s="806"/>
    </row>
    <row r="1092" spans="1:33" ht="24" customHeight="1">
      <c r="A1092" s="18">
        <f t="shared" si="533"/>
        <v>5</v>
      </c>
      <c r="B1092" s="62" t="s">
        <v>36</v>
      </c>
      <c r="C1092" s="4">
        <f t="shared" si="530"/>
        <v>8862790.6999999993</v>
      </c>
      <c r="D1092" s="15"/>
      <c r="E1092" s="15"/>
      <c r="F1092" s="21"/>
      <c r="G1092" s="12"/>
      <c r="H1092" s="21"/>
      <c r="I1092" s="65">
        <f>1998.5*3990.81</f>
        <v>7975633.79</v>
      </c>
      <c r="J1092" s="21"/>
      <c r="K1092" s="21"/>
      <c r="L1092" s="22"/>
      <c r="M1092" s="22"/>
      <c r="N1092" s="22"/>
      <c r="O1092" s="22"/>
      <c r="P1092" s="9"/>
      <c r="Q1092" s="23"/>
      <c r="R1092" s="23"/>
      <c r="S1092" s="23"/>
      <c r="T1092" s="120"/>
      <c r="U1092" s="120"/>
      <c r="V1092" s="63">
        <v>767522.4</v>
      </c>
      <c r="W1092" s="9">
        <f t="shared" si="531"/>
        <v>119634.51</v>
      </c>
      <c r="X1092" s="15"/>
      <c r="Y1092" s="15"/>
      <c r="Z1092" s="15"/>
      <c r="AA1092" s="15"/>
      <c r="AB1092" s="9">
        <f t="shared" si="532"/>
        <v>8862790.6999999993</v>
      </c>
      <c r="AC1092" s="18"/>
      <c r="AD1092" s="18">
        <v>2025</v>
      </c>
      <c r="AE1092" s="18">
        <v>2025</v>
      </c>
      <c r="AF1092" s="806"/>
      <c r="AG1092" s="806"/>
    </row>
    <row r="1093" spans="1:33" ht="24" customHeight="1">
      <c r="A1093" s="18">
        <f t="shared" si="533"/>
        <v>6</v>
      </c>
      <c r="B1093" s="442" t="s">
        <v>39</v>
      </c>
      <c r="C1093" s="418">
        <f t="shared" si="530"/>
        <v>2951477.1</v>
      </c>
      <c r="D1093" s="572"/>
      <c r="E1093" s="572"/>
      <c r="F1093" s="420"/>
      <c r="G1093" s="421"/>
      <c r="H1093" s="420"/>
      <c r="I1093" s="570"/>
      <c r="J1093" s="420">
        <v>1</v>
      </c>
      <c r="K1093" s="573">
        <v>2771340</v>
      </c>
      <c r="L1093" s="422"/>
      <c r="M1093" s="422"/>
      <c r="N1093" s="422"/>
      <c r="O1093" s="422"/>
      <c r="P1093" s="428"/>
      <c r="Q1093" s="438"/>
      <c r="R1093" s="438"/>
      <c r="S1093" s="438"/>
      <c r="T1093" s="438"/>
      <c r="U1093" s="438"/>
      <c r="V1093" s="440">
        <v>138567</v>
      </c>
      <c r="W1093" s="428">
        <f>ROUND((D1093+F1093+G1093+H1093+I1093+K1093+L1093+M1093+O1093+P1093+Q1093+R1093+S1093)*1.5%,2)</f>
        <v>41570.1</v>
      </c>
      <c r="X1093" s="572"/>
      <c r="Y1093" s="572"/>
      <c r="Z1093" s="572"/>
      <c r="AA1093" s="572"/>
      <c r="AB1093" s="428">
        <f t="shared" si="532"/>
        <v>2951477.1</v>
      </c>
      <c r="AC1093" s="426"/>
      <c r="AD1093" s="426">
        <v>2025</v>
      </c>
      <c r="AE1093" s="426">
        <v>2026</v>
      </c>
      <c r="AF1093" s="571"/>
      <c r="AG1093" s="571"/>
    </row>
    <row r="1094" spans="1:33" ht="24" customHeight="1">
      <c r="A1094" s="18">
        <f t="shared" si="533"/>
        <v>7</v>
      </c>
      <c r="B1094" s="442" t="s">
        <v>1013</v>
      </c>
      <c r="C1094" s="418">
        <f t="shared" si="530"/>
        <v>2951477.1</v>
      </c>
      <c r="D1094" s="572"/>
      <c r="E1094" s="572"/>
      <c r="F1094" s="420"/>
      <c r="G1094" s="421"/>
      <c r="H1094" s="420"/>
      <c r="I1094" s="570"/>
      <c r="J1094" s="420">
        <v>1</v>
      </c>
      <c r="K1094" s="573">
        <v>2771340</v>
      </c>
      <c r="L1094" s="422"/>
      <c r="M1094" s="422"/>
      <c r="N1094" s="422"/>
      <c r="O1094" s="422"/>
      <c r="P1094" s="428"/>
      <c r="Q1094" s="438"/>
      <c r="R1094" s="438"/>
      <c r="S1094" s="438"/>
      <c r="T1094" s="438"/>
      <c r="U1094" s="438"/>
      <c r="V1094" s="440">
        <v>138567</v>
      </c>
      <c r="W1094" s="428">
        <f t="shared" ref="W1094" si="534">ROUND((D1094+F1094+G1094+H1094+I1094+K1094+L1094+M1094+O1094+P1094+Q1094+R1094+S1094)*1.5%,2)</f>
        <v>41570.1</v>
      </c>
      <c r="X1094" s="572"/>
      <c r="Y1094" s="572"/>
      <c r="Z1094" s="572"/>
      <c r="AA1094" s="572"/>
      <c r="AB1094" s="428">
        <f t="shared" si="532"/>
        <v>2951477.1</v>
      </c>
      <c r="AC1094" s="426"/>
      <c r="AD1094" s="426">
        <v>2025</v>
      </c>
      <c r="AE1094" s="426">
        <v>2026</v>
      </c>
      <c r="AF1094" s="571"/>
      <c r="AG1094" s="571"/>
    </row>
    <row r="1095" spans="1:33" ht="24" customHeight="1">
      <c r="A1095" s="18">
        <f t="shared" si="533"/>
        <v>8</v>
      </c>
      <c r="B1095" s="442" t="s">
        <v>1014</v>
      </c>
      <c r="C1095" s="418">
        <f t="shared" si="530"/>
        <v>20397329.09</v>
      </c>
      <c r="D1095" s="572"/>
      <c r="E1095" s="572"/>
      <c r="F1095" s="420"/>
      <c r="G1095" s="421"/>
      <c r="H1095" s="420"/>
      <c r="I1095" s="570"/>
      <c r="J1095" s="420"/>
      <c r="K1095" s="573"/>
      <c r="L1095" s="422"/>
      <c r="M1095" s="422"/>
      <c r="N1095" s="422"/>
      <c r="O1095" s="422"/>
      <c r="P1095" s="428">
        <v>19152421.68</v>
      </c>
      <c r="Q1095" s="438"/>
      <c r="R1095" s="438"/>
      <c r="S1095" s="438"/>
      <c r="T1095" s="438"/>
      <c r="U1095" s="438"/>
      <c r="V1095" s="440">
        <v>957621.08</v>
      </c>
      <c r="W1095" s="428">
        <v>287286.33</v>
      </c>
      <c r="X1095" s="572"/>
      <c r="Y1095" s="572"/>
      <c r="Z1095" s="572"/>
      <c r="AA1095" s="572"/>
      <c r="AB1095" s="428">
        <f t="shared" si="532"/>
        <v>20397329.09</v>
      </c>
      <c r="AC1095" s="426"/>
      <c r="AD1095" s="426">
        <v>2025</v>
      </c>
      <c r="AE1095" s="426">
        <v>2026</v>
      </c>
      <c r="AF1095" s="571"/>
      <c r="AG1095" s="571"/>
    </row>
    <row r="1096" spans="1:33" ht="24" customHeight="1">
      <c r="A1096" s="18">
        <f t="shared" si="533"/>
        <v>9</v>
      </c>
      <c r="B1096" s="62" t="s">
        <v>38</v>
      </c>
      <c r="C1096" s="4">
        <f t="shared" si="530"/>
        <v>14205963.220000001</v>
      </c>
      <c r="D1096" s="15"/>
      <c r="E1096" s="15"/>
      <c r="F1096" s="21"/>
      <c r="G1096" s="12"/>
      <c r="H1096" s="21"/>
      <c r="I1096" s="65">
        <f>1633*3990.81</f>
        <v>6516992.7300000004</v>
      </c>
      <c r="J1096" s="21"/>
      <c r="K1096" s="21"/>
      <c r="L1096" s="12">
        <f>1633*616.25</f>
        <v>1006336.25</v>
      </c>
      <c r="M1096" s="22"/>
      <c r="N1096" s="22"/>
      <c r="O1096" s="22"/>
      <c r="P1096" s="9"/>
      <c r="Q1096" s="23"/>
      <c r="R1096" s="23">
        <f>ROUND(1633*3284.11,2)</f>
        <v>5362951.63</v>
      </c>
      <c r="S1096" s="23"/>
      <c r="T1096" s="120"/>
      <c r="U1096" s="120"/>
      <c r="V1096" s="63">
        <v>1126388.3999999999</v>
      </c>
      <c r="W1096" s="9">
        <f t="shared" si="531"/>
        <v>193294.21</v>
      </c>
      <c r="X1096" s="15"/>
      <c r="Y1096" s="15"/>
      <c r="Z1096" s="15"/>
      <c r="AA1096" s="15"/>
      <c r="AB1096" s="9">
        <f t="shared" si="532"/>
        <v>14205963.220000001</v>
      </c>
      <c r="AC1096" s="18"/>
      <c r="AD1096" s="18">
        <v>2025</v>
      </c>
      <c r="AE1096" s="18">
        <v>2025</v>
      </c>
      <c r="AF1096" s="806"/>
      <c r="AG1096" s="806"/>
    </row>
    <row r="1097" spans="1:33" ht="24" customHeight="1">
      <c r="A1097" s="883" t="s">
        <v>262</v>
      </c>
      <c r="B1097" s="883"/>
      <c r="C1097" s="6">
        <f>SUM(C1088:C1096)</f>
        <v>108707096.36</v>
      </c>
      <c r="D1097" s="6">
        <f t="shared" ref="D1097:AC1097" si="535">SUM(D1088:D1096)</f>
        <v>0</v>
      </c>
      <c r="E1097" s="6">
        <f t="shared" si="535"/>
        <v>0</v>
      </c>
      <c r="F1097" s="6">
        <f t="shared" si="535"/>
        <v>0</v>
      </c>
      <c r="G1097" s="6">
        <f t="shared" si="535"/>
        <v>0</v>
      </c>
      <c r="H1097" s="6">
        <f t="shared" si="535"/>
        <v>0</v>
      </c>
      <c r="I1097" s="6">
        <f t="shared" si="535"/>
        <v>34974093.329999998</v>
      </c>
      <c r="J1097" s="398">
        <f t="shared" si="535"/>
        <v>2</v>
      </c>
      <c r="K1097" s="6">
        <f t="shared" si="535"/>
        <v>5542680</v>
      </c>
      <c r="L1097" s="6">
        <f t="shared" si="535"/>
        <v>2958616.25</v>
      </c>
      <c r="M1097" s="6">
        <f t="shared" si="535"/>
        <v>0</v>
      </c>
      <c r="N1097" s="6">
        <f t="shared" si="535"/>
        <v>0</v>
      </c>
      <c r="O1097" s="6">
        <f t="shared" si="535"/>
        <v>0</v>
      </c>
      <c r="P1097" s="6">
        <f t="shared" si="535"/>
        <v>43400781.390000001</v>
      </c>
      <c r="Q1097" s="6">
        <f t="shared" si="535"/>
        <v>0</v>
      </c>
      <c r="R1097" s="6">
        <f t="shared" si="535"/>
        <v>13796927.439999999</v>
      </c>
      <c r="S1097" s="6">
        <f t="shared" si="535"/>
        <v>0</v>
      </c>
      <c r="T1097" s="6">
        <f t="shared" si="535"/>
        <v>0</v>
      </c>
      <c r="U1097" s="6">
        <f t="shared" si="535"/>
        <v>0</v>
      </c>
      <c r="V1097" s="6">
        <f t="shared" si="535"/>
        <v>6523901.46</v>
      </c>
      <c r="W1097" s="6">
        <f t="shared" si="535"/>
        <v>1510096.49</v>
      </c>
      <c r="X1097" s="6">
        <f t="shared" si="535"/>
        <v>0</v>
      </c>
      <c r="Y1097" s="6">
        <f t="shared" si="535"/>
        <v>0</v>
      </c>
      <c r="Z1097" s="6">
        <f t="shared" si="535"/>
        <v>0</v>
      </c>
      <c r="AA1097" s="6">
        <f t="shared" si="535"/>
        <v>0</v>
      </c>
      <c r="AB1097" s="6">
        <f t="shared" si="535"/>
        <v>108707096.36</v>
      </c>
      <c r="AC1097" s="6">
        <f t="shared" si="535"/>
        <v>0</v>
      </c>
      <c r="AD1097" s="798" t="s">
        <v>29</v>
      </c>
      <c r="AE1097" s="798" t="s">
        <v>29</v>
      </c>
      <c r="AF1097" s="808"/>
      <c r="AG1097" s="806"/>
    </row>
    <row r="1098" spans="1:33" ht="24" customHeight="1">
      <c r="A1098" s="888" t="s">
        <v>352</v>
      </c>
      <c r="B1098" s="888"/>
      <c r="C1098" s="888"/>
      <c r="D1098" s="888"/>
      <c r="E1098" s="888"/>
      <c r="F1098" s="888"/>
      <c r="G1098" s="888"/>
      <c r="H1098" s="888"/>
      <c r="I1098" s="888"/>
      <c r="J1098" s="888"/>
      <c r="K1098" s="888"/>
      <c r="L1098" s="888"/>
      <c r="M1098" s="888"/>
      <c r="N1098" s="888"/>
      <c r="O1098" s="888"/>
      <c r="P1098" s="888"/>
      <c r="Q1098" s="888"/>
      <c r="R1098" s="888"/>
      <c r="S1098" s="888"/>
      <c r="T1098" s="889"/>
      <c r="U1098" s="889"/>
      <c r="V1098" s="888"/>
      <c r="W1098" s="888"/>
      <c r="X1098" s="888"/>
      <c r="Y1098" s="888"/>
      <c r="Z1098" s="888"/>
      <c r="AA1098" s="888"/>
      <c r="AB1098" s="888"/>
      <c r="AC1098" s="888"/>
      <c r="AD1098" s="888"/>
      <c r="AE1098" s="888"/>
      <c r="AF1098" s="808"/>
      <c r="AG1098" s="806"/>
    </row>
    <row r="1099" spans="1:33" ht="24" customHeight="1">
      <c r="A1099" s="585">
        <f>A1096+1</f>
        <v>10</v>
      </c>
      <c r="B1099" s="611" t="s">
        <v>269</v>
      </c>
      <c r="C1099" s="587">
        <f t="shared" ref="C1099" si="536">D1099+F1099+G1099+H1099+I1099+K1099+L1099+M1099+O1099+P1099+Q1099+R1099+S1099+W1099+V1099+X1099</f>
        <v>43039343.18</v>
      </c>
      <c r="D1099" s="580">
        <f>ROUND(3301.4*589.88,2)</f>
        <v>1947429.83</v>
      </c>
      <c r="E1099" s="585"/>
      <c r="F1099" s="580"/>
      <c r="G1099" s="578">
        <f>ROUND(3301.4*596.38,2)</f>
        <v>1968888.93</v>
      </c>
      <c r="H1099" s="580">
        <f>ROUND(3301.4*1074.75,2)</f>
        <v>3548179.65</v>
      </c>
      <c r="I1099" s="580">
        <f>2877170.1+9028008.44</f>
        <v>11905178.539999999</v>
      </c>
      <c r="J1099" s="420">
        <v>1</v>
      </c>
      <c r="K1099" s="580">
        <v>2501151.2400000002</v>
      </c>
      <c r="L1099" s="579"/>
      <c r="M1099" s="579"/>
      <c r="N1099" s="579"/>
      <c r="O1099" s="579"/>
      <c r="P1099" s="580"/>
      <c r="Q1099" s="580">
        <f>ROUND(3301.4*1954.25,2)</f>
        <v>6451760.9500000002</v>
      </c>
      <c r="R1099" s="580">
        <f>ROUND(3301.4*2647.87,2)</f>
        <v>8741678.0199999996</v>
      </c>
      <c r="S1099" s="580">
        <f>ROUND(3301.4*1135.41,2)</f>
        <v>3748442.57</v>
      </c>
      <c r="T1099" s="580"/>
      <c r="U1099" s="580"/>
      <c r="V1099" s="580">
        <f>1305714.03+444148.9</f>
        <v>1749862.93</v>
      </c>
      <c r="W1099" s="584">
        <v>476770.52</v>
      </c>
      <c r="X1099" s="842"/>
      <c r="Y1099" s="842"/>
      <c r="Z1099" s="842"/>
      <c r="AA1099" s="842"/>
      <c r="AB1099" s="584">
        <f t="shared" ref="AB1099" si="537">C1099</f>
        <v>43039343.18</v>
      </c>
      <c r="AC1099" s="585"/>
      <c r="AD1099" s="585">
        <v>2025</v>
      </c>
      <c r="AE1099" s="585">
        <v>2025</v>
      </c>
      <c r="AF1099" s="839"/>
      <c r="AG1099" s="839"/>
    </row>
    <row r="1100" spans="1:33" ht="24" customHeight="1">
      <c r="A1100" s="426">
        <f>A1099+1</f>
        <v>11</v>
      </c>
      <c r="B1100" s="512" t="s">
        <v>1015</v>
      </c>
      <c r="C1100" s="418">
        <f t="shared" ref="C1100" si="538">D1100+F1100+G1100+H1100+I1100+K1100+L1100+M1100+O1100+P1100+Q1100+R1100+S1100+W1100+V1100+X1100</f>
        <v>13553781.640000001</v>
      </c>
      <c r="D1100" s="428"/>
      <c r="E1100" s="426"/>
      <c r="F1100" s="428"/>
      <c r="G1100" s="421"/>
      <c r="H1100" s="428"/>
      <c r="I1100" s="428"/>
      <c r="J1100" s="426"/>
      <c r="K1100" s="428"/>
      <c r="L1100" s="422"/>
      <c r="M1100" s="422"/>
      <c r="N1100" s="422"/>
      <c r="O1100" s="422"/>
      <c r="P1100" s="428"/>
      <c r="Q1100" s="428"/>
      <c r="R1100" s="563">
        <v>12726555.529999999</v>
      </c>
      <c r="S1100" s="428"/>
      <c r="T1100" s="428"/>
      <c r="U1100" s="428"/>
      <c r="V1100" s="428">
        <v>636327.78</v>
      </c>
      <c r="W1100" s="425">
        <f t="shared" ref="W1100" si="539">ROUND((D1100+F1100+G1100+H1100+I1100+K1100+L1100+M1100+O1100+P1100+Q1100+R1100+S1100)*1.5%,2)</f>
        <v>190898.33</v>
      </c>
      <c r="X1100" s="572"/>
      <c r="Y1100" s="572"/>
      <c r="Z1100" s="572"/>
      <c r="AA1100" s="572"/>
      <c r="AB1100" s="425">
        <f t="shared" ref="AB1100" si="540">C1100</f>
        <v>13553781.640000001</v>
      </c>
      <c r="AC1100" s="426"/>
      <c r="AD1100" s="426">
        <v>2025</v>
      </c>
      <c r="AE1100" s="426">
        <v>2026</v>
      </c>
      <c r="AF1100" s="571"/>
      <c r="AG1100" s="571"/>
    </row>
    <row r="1101" spans="1:33" ht="24" customHeight="1">
      <c r="A1101" s="426">
        <f t="shared" ref="A1101:A1109" si="541">A1100+1</f>
        <v>12</v>
      </c>
      <c r="B1101" s="509" t="s">
        <v>870</v>
      </c>
      <c r="C1101" s="418">
        <f>D1101+F1101+G1101+H1101+I1101+K1101+L1101+M1101+O1101+P1101+Q1101+R1101+S1101+W1101+V1101+X1101</f>
        <v>47864176.280000001</v>
      </c>
      <c r="D1101" s="428"/>
      <c r="E1101" s="439"/>
      <c r="F1101" s="420"/>
      <c r="G1101" s="466"/>
      <c r="H1101" s="420"/>
      <c r="I1101" s="428"/>
      <c r="J1101" s="426"/>
      <c r="K1101" s="428"/>
      <c r="L1101" s="466"/>
      <c r="M1101" s="474"/>
      <c r="N1101" s="474"/>
      <c r="O1101" s="474"/>
      <c r="P1101" s="425">
        <v>21203481.02</v>
      </c>
      <c r="Q1101" s="425"/>
      <c r="R1101" s="826">
        <v>23799106.829999998</v>
      </c>
      <c r="S1101" s="425"/>
      <c r="T1101" s="425"/>
      <c r="U1101" s="425"/>
      <c r="V1101" s="425">
        <v>2152590</v>
      </c>
      <c r="W1101" s="425">
        <v>708998.43</v>
      </c>
      <c r="X1101" s="425"/>
      <c r="Y1101" s="439"/>
      <c r="Z1101" s="425">
        <f>C1101</f>
        <v>47864176.280000001</v>
      </c>
      <c r="AA1101" s="439"/>
      <c r="AB1101" s="425"/>
      <c r="AC1101" s="426"/>
      <c r="AD1101" s="426">
        <v>2025</v>
      </c>
      <c r="AE1101" s="426">
        <v>2025</v>
      </c>
      <c r="AF1101" s="441"/>
      <c r="AG1101" s="441"/>
    </row>
    <row r="1102" spans="1:33" ht="24" customHeight="1">
      <c r="A1102" s="426">
        <f t="shared" si="541"/>
        <v>13</v>
      </c>
      <c r="B1102" s="509" t="s">
        <v>267</v>
      </c>
      <c r="C1102" s="418">
        <f>D1102+F1102+G1102+H1102+I1102+K1102+L1102+M1102+O1102+P1102+Q1102+R1102+S1102+W1102+V1102+X1102</f>
        <v>20246214.5</v>
      </c>
      <c r="D1102" s="428"/>
      <c r="E1102" s="574"/>
      <c r="F1102" s="428"/>
      <c r="G1102" s="421"/>
      <c r="H1102" s="429"/>
      <c r="I1102" s="429"/>
      <c r="J1102" s="420"/>
      <c r="K1102" s="428"/>
      <c r="L1102" s="422"/>
      <c r="M1102" s="422"/>
      <c r="N1102" s="422"/>
      <c r="O1102" s="422"/>
      <c r="P1102" s="572"/>
      <c r="Q1102" s="428">
        <f>ROUND(3210.5*1954.25,2)</f>
        <v>6274119.6299999999</v>
      </c>
      <c r="R1102" s="417">
        <v>13030970.029999999</v>
      </c>
      <c r="S1102" s="429"/>
      <c r="T1102" s="429"/>
      <c r="U1102" s="429"/>
      <c r="V1102" s="425">
        <v>651548.5</v>
      </c>
      <c r="W1102" s="425">
        <f>ROUND((D1102+F1102+G1102+H1102+I1102+K1102+L1102+M1102+O1102+P1102+Q1102+R1102+S1102)*1.5%,2)</f>
        <v>289576.34000000003</v>
      </c>
      <c r="X1102" s="572"/>
      <c r="Y1102" s="572"/>
      <c r="Z1102" s="572"/>
      <c r="AA1102" s="572"/>
      <c r="AB1102" s="425">
        <f>C1102</f>
        <v>20246214.5</v>
      </c>
      <c r="AC1102" s="426"/>
      <c r="AD1102" s="426">
        <v>2025</v>
      </c>
      <c r="AE1102" s="426">
        <v>2026</v>
      </c>
      <c r="AF1102" s="571"/>
      <c r="AG1102" s="571"/>
    </row>
    <row r="1103" spans="1:33" ht="24" customHeight="1">
      <c r="A1103" s="426">
        <f t="shared" si="541"/>
        <v>14</v>
      </c>
      <c r="B1103" s="437" t="s">
        <v>1016</v>
      </c>
      <c r="C1103" s="418">
        <f>D1103+F1103+G1103+H1103+I1103+K1103+L1103+M1103+O1103+P1103+Q1103+R1103+S1103+W1103+V1103+X1103</f>
        <v>16860636.350000001</v>
      </c>
      <c r="D1103" s="428"/>
      <c r="E1103" s="574"/>
      <c r="F1103" s="428"/>
      <c r="G1103" s="421"/>
      <c r="H1103" s="429"/>
      <c r="I1103" s="429"/>
      <c r="J1103" s="420"/>
      <c r="K1103" s="428"/>
      <c r="L1103" s="422"/>
      <c r="M1103" s="422"/>
      <c r="N1103" s="422"/>
      <c r="O1103" s="422"/>
      <c r="P1103" s="572"/>
      <c r="Q1103" s="428"/>
      <c r="R1103" s="417">
        <v>15831583.43</v>
      </c>
      <c r="S1103" s="429"/>
      <c r="T1103" s="429"/>
      <c r="U1103" s="429"/>
      <c r="V1103" s="425">
        <v>791579.17</v>
      </c>
      <c r="W1103" s="425">
        <f>ROUND((D1103+F1103+G1103+H1103+I1103+K1103+L1103+M1103+O1103+P1103+Q1103+R1103+S1103)*1.5%,2)</f>
        <v>237473.75</v>
      </c>
      <c r="X1103" s="572"/>
      <c r="Y1103" s="572"/>
      <c r="Z1103" s="572"/>
      <c r="AA1103" s="572"/>
      <c r="AB1103" s="425">
        <f>C1103</f>
        <v>16860636.350000001</v>
      </c>
      <c r="AC1103" s="426"/>
      <c r="AD1103" s="426">
        <v>2025</v>
      </c>
      <c r="AE1103" s="426">
        <v>2026</v>
      </c>
      <c r="AF1103" s="571"/>
      <c r="AG1103" s="571"/>
    </row>
    <row r="1104" spans="1:33" ht="24" customHeight="1">
      <c r="A1104" s="426">
        <f t="shared" si="541"/>
        <v>15</v>
      </c>
      <c r="B1104" s="437" t="s">
        <v>268</v>
      </c>
      <c r="C1104" s="418">
        <f t="shared" ref="C1104" si="542">D1104+F1104+G1104+H1104+I1104+K1104+L1104+M1104+O1104+P1104+Q1104+R1104+S1104+W1104+V1104+X1104</f>
        <v>47175059.5</v>
      </c>
      <c r="D1104" s="425">
        <v>2224964.6800000002</v>
      </c>
      <c r="E1104" s="492">
        <v>1</v>
      </c>
      <c r="F1104" s="428">
        <v>1612809</v>
      </c>
      <c r="G1104" s="421">
        <v>1734225.75</v>
      </c>
      <c r="H1104" s="425">
        <v>3968496.42</v>
      </c>
      <c r="I1104" s="425">
        <v>9119156.2599999998</v>
      </c>
      <c r="J1104" s="420">
        <v>1</v>
      </c>
      <c r="K1104" s="573">
        <v>2771340</v>
      </c>
      <c r="L1104" s="436">
        <v>4215180.8600000003</v>
      </c>
      <c r="M1104" s="422"/>
      <c r="N1104" s="422"/>
      <c r="O1104" s="422"/>
      <c r="P1104" s="428"/>
      <c r="Q1104" s="428">
        <f>ROUND(2229.8*1954.25,2)</f>
        <v>4357586.6500000004</v>
      </c>
      <c r="R1104" s="826">
        <v>11593858.539999999</v>
      </c>
      <c r="S1104" s="428">
        <f>ROUND(2229.8*1135.41,2)</f>
        <v>2531737.2200000002</v>
      </c>
      <c r="T1104" s="428"/>
      <c r="U1104" s="428"/>
      <c r="V1104" s="425">
        <f>958095.6+138567+224000+210759.04+455957.81+86711.29+111248.23+198424.82</f>
        <v>2383763.79</v>
      </c>
      <c r="W1104" s="425">
        <f t="shared" ref="W1104" si="543">ROUND((D1104+F1104+G1104+H1104+I1104+K1104+L1104+M1104+O1104+P1104+Q1104+R1104+S1104)*1.5%,2)</f>
        <v>661940.32999999996</v>
      </c>
      <c r="X1104" s="572"/>
      <c r="Y1104" s="572"/>
      <c r="Z1104" s="425">
        <v>12725862.02</v>
      </c>
      <c r="AA1104" s="572"/>
      <c r="AB1104" s="425">
        <f>C1104-Z1104</f>
        <v>34449197.479999997</v>
      </c>
      <c r="AC1104" s="426"/>
      <c r="AD1104" s="426">
        <v>2025</v>
      </c>
      <c r="AE1104" s="426">
        <v>2026</v>
      </c>
      <c r="AF1104" s="571"/>
      <c r="AG1104" s="571"/>
    </row>
    <row r="1105" spans="1:33" ht="23.25" customHeight="1">
      <c r="A1105" s="426">
        <f t="shared" si="541"/>
        <v>16</v>
      </c>
      <c r="B1105" s="37" t="s">
        <v>270</v>
      </c>
      <c r="C1105" s="4">
        <f t="shared" ref="C1105:C1109" si="544">D1105+F1105+G1105+H1105+I1105+K1105+L1105+M1105+O1105+P1105+Q1105+R1105+S1105+W1105+V1105+X1105</f>
        <v>3305643.58</v>
      </c>
      <c r="D1105" s="15"/>
      <c r="E1105" s="15"/>
      <c r="F1105" s="21"/>
      <c r="G1105" s="12"/>
      <c r="H1105" s="21"/>
      <c r="I1105" s="9"/>
      <c r="J1105" s="18"/>
      <c r="K1105" s="9"/>
      <c r="L1105" s="12">
        <f>ROUND(690.32*4717.8,2)</f>
        <v>3256791.7</v>
      </c>
      <c r="M1105" s="22"/>
      <c r="N1105" s="22"/>
      <c r="O1105" s="22"/>
      <c r="P1105" s="15"/>
      <c r="Q1105" s="15"/>
      <c r="R1105" s="725"/>
      <c r="S1105" s="15"/>
      <c r="T1105" s="119"/>
      <c r="U1105" s="119"/>
      <c r="V1105" s="15"/>
      <c r="W1105" s="24">
        <f t="shared" ref="W1105" si="545">ROUND((D1105+F1105+G1105+H1105+I1105+K1105+L1105+M1105+O1105+P1105+Q1105+R1105+S1105)*1.5%,2)</f>
        <v>48851.88</v>
      </c>
      <c r="X1105" s="15"/>
      <c r="Y1105" s="15"/>
      <c r="Z1105" s="15"/>
      <c r="AA1105" s="15"/>
      <c r="AB1105" s="24">
        <f t="shared" ref="AB1105" si="546">C1105</f>
        <v>3305643.58</v>
      </c>
      <c r="AC1105" s="18"/>
      <c r="AD1105" s="18">
        <v>2025</v>
      </c>
      <c r="AE1105" s="18">
        <v>2025</v>
      </c>
      <c r="AF1105" s="808"/>
      <c r="AG1105" s="806"/>
    </row>
    <row r="1106" spans="1:33" ht="24" customHeight="1">
      <c r="A1106" s="426">
        <f t="shared" si="541"/>
        <v>17</v>
      </c>
      <c r="B1106" s="512" t="s">
        <v>871</v>
      </c>
      <c r="C1106" s="418">
        <f>D1106+F1106+G1106+H1106+I1106+K1106+L1106+M1106+O1106+P1106+Q1106+R1106+S1106+W1106+V1106+X1106</f>
        <v>23887013.510000002</v>
      </c>
      <c r="D1106" s="428"/>
      <c r="E1106" s="439"/>
      <c r="F1106" s="420"/>
      <c r="G1106" s="466"/>
      <c r="H1106" s="420"/>
      <c r="I1106" s="428"/>
      <c r="J1106" s="426"/>
      <c r="K1106" s="428"/>
      <c r="L1106" s="466"/>
      <c r="M1106" s="474"/>
      <c r="N1106" s="474"/>
      <c r="O1106" s="474"/>
      <c r="P1106" s="425">
        <v>11241273.939999999</v>
      </c>
      <c r="Q1106" s="425"/>
      <c r="R1106" s="826">
        <v>10639494.84</v>
      </c>
      <c r="S1106" s="425"/>
      <c r="T1106" s="425"/>
      <c r="U1106" s="425"/>
      <c r="V1106" s="425">
        <v>1678033.2</v>
      </c>
      <c r="W1106" s="425">
        <v>328211.53000000003</v>
      </c>
      <c r="X1106" s="425"/>
      <c r="Y1106" s="439"/>
      <c r="Z1106" s="425">
        <f>C1106</f>
        <v>23887013.510000002</v>
      </c>
      <c r="AA1106" s="439"/>
      <c r="AB1106" s="425"/>
      <c r="AC1106" s="426"/>
      <c r="AD1106" s="426">
        <v>2025</v>
      </c>
      <c r="AE1106" s="426">
        <v>2025</v>
      </c>
      <c r="AF1106" s="441"/>
      <c r="AG1106" s="441"/>
    </row>
    <row r="1107" spans="1:33" ht="24" customHeight="1">
      <c r="A1107" s="426">
        <f t="shared" si="541"/>
        <v>18</v>
      </c>
      <c r="B1107" s="512" t="s">
        <v>872</v>
      </c>
      <c r="C1107" s="418">
        <f t="shared" ref="C1107:C1108" si="547">D1107+F1107+G1107+H1107+I1107+K1107+L1107+M1107+O1107+P1107+Q1107+R1107+S1107+W1107+V1107+X1107</f>
        <v>27634792.289999999</v>
      </c>
      <c r="D1107" s="439"/>
      <c r="E1107" s="439"/>
      <c r="F1107" s="420"/>
      <c r="G1107" s="466"/>
      <c r="H1107" s="420"/>
      <c r="I1107" s="428"/>
      <c r="J1107" s="426"/>
      <c r="K1107" s="428"/>
      <c r="L1107" s="466"/>
      <c r="M1107" s="474"/>
      <c r="N1107" s="474"/>
      <c r="O1107" s="474"/>
      <c r="P1107" s="425">
        <v>12446790.810000001</v>
      </c>
      <c r="Q1107" s="425"/>
      <c r="R1107" s="826">
        <v>13126471.35</v>
      </c>
      <c r="S1107" s="425"/>
      <c r="T1107" s="425"/>
      <c r="U1107" s="425"/>
      <c r="V1107" s="425">
        <v>1626784.68</v>
      </c>
      <c r="W1107" s="425">
        <f t="shared" ref="W1107" si="548">ROUND((D1107+F1107+G1107+H1107+I1107+K1107+L1107+M1107+O1107+P1107+Q1107+R1107+S1107)*1.5%,2)</f>
        <v>383598.93</v>
      </c>
      <c r="X1107" s="425">
        <v>51146.52</v>
      </c>
      <c r="Y1107" s="439"/>
      <c r="Z1107" s="425">
        <f>C1107</f>
        <v>27634792.289999999</v>
      </c>
      <c r="AA1107" s="439"/>
      <c r="AB1107" s="425"/>
      <c r="AC1107" s="426"/>
      <c r="AD1107" s="426">
        <v>2025</v>
      </c>
      <c r="AE1107" s="426">
        <v>2025</v>
      </c>
      <c r="AF1107" s="441"/>
      <c r="AG1107" s="441"/>
    </row>
    <row r="1108" spans="1:33" ht="24" customHeight="1">
      <c r="A1108" s="585">
        <f t="shared" si="541"/>
        <v>19</v>
      </c>
      <c r="B1108" s="840" t="s">
        <v>194</v>
      </c>
      <c r="C1108" s="587">
        <f t="shared" si="547"/>
        <v>18277170.030000001</v>
      </c>
      <c r="D1108" s="842"/>
      <c r="E1108" s="842"/>
      <c r="F1108" s="581"/>
      <c r="G1108" s="578"/>
      <c r="H1108" s="581"/>
      <c r="I1108" s="580">
        <f>3673721.1+12009674.6</f>
        <v>15683395.699999999</v>
      </c>
      <c r="J1108" s="420">
        <v>1</v>
      </c>
      <c r="K1108" s="580">
        <v>2501151.2400000002</v>
      </c>
      <c r="L1108" s="579"/>
      <c r="M1108" s="579"/>
      <c r="N1108" s="579"/>
      <c r="O1108" s="579"/>
      <c r="P1108" s="842"/>
      <c r="Q1108" s="842"/>
      <c r="R1108" s="580"/>
      <c r="S1108" s="842"/>
      <c r="T1108" s="842"/>
      <c r="U1108" s="842"/>
      <c r="V1108" s="842"/>
      <c r="W1108" s="584">
        <v>92623.09</v>
      </c>
      <c r="X1108" s="842"/>
      <c r="Y1108" s="842"/>
      <c r="Z1108" s="842"/>
      <c r="AA1108" s="842"/>
      <c r="AB1108" s="584">
        <f t="shared" ref="AB1108" si="549">C1108</f>
        <v>18277170.030000001</v>
      </c>
      <c r="AC1108" s="585"/>
      <c r="AD1108" s="585">
        <v>2025</v>
      </c>
      <c r="AE1108" s="585">
        <v>2025</v>
      </c>
      <c r="AF1108" s="839"/>
      <c r="AG1108" s="839"/>
    </row>
    <row r="1109" spans="1:33" ht="24" customHeight="1">
      <c r="A1109" s="426">
        <f t="shared" si="541"/>
        <v>20</v>
      </c>
      <c r="B1109" s="512" t="s">
        <v>873</v>
      </c>
      <c r="C1109" s="418">
        <f t="shared" si="544"/>
        <v>13999460.33</v>
      </c>
      <c r="D1109" s="439"/>
      <c r="E1109" s="439"/>
      <c r="F1109" s="420"/>
      <c r="G1109" s="466"/>
      <c r="H1109" s="420"/>
      <c r="I1109" s="428"/>
      <c r="J1109" s="426"/>
      <c r="K1109" s="428"/>
      <c r="L1109" s="466"/>
      <c r="M1109" s="474"/>
      <c r="N1109" s="474"/>
      <c r="O1109" s="474"/>
      <c r="P1109" s="425"/>
      <c r="Q1109" s="425"/>
      <c r="R1109" s="826">
        <v>12877412.74</v>
      </c>
      <c r="S1109" s="425"/>
      <c r="T1109" s="425"/>
      <c r="U1109" s="425"/>
      <c r="V1109" s="425">
        <v>928886.4</v>
      </c>
      <c r="W1109" s="425">
        <v>193161.19</v>
      </c>
      <c r="X1109" s="425"/>
      <c r="Y1109" s="439"/>
      <c r="Z1109" s="425">
        <f>C1109</f>
        <v>13999460.33</v>
      </c>
      <c r="AA1109" s="439"/>
      <c r="AB1109" s="425"/>
      <c r="AC1109" s="426"/>
      <c r="AD1109" s="426">
        <v>2025</v>
      </c>
      <c r="AE1109" s="426">
        <v>2025</v>
      </c>
      <c r="AF1109" s="441"/>
      <c r="AG1109" s="441"/>
    </row>
    <row r="1110" spans="1:33" ht="24" customHeight="1">
      <c r="A1110" s="883" t="s">
        <v>262</v>
      </c>
      <c r="B1110" s="883"/>
      <c r="C1110" s="16">
        <f>SUM(C1099:C1109)</f>
        <v>275843291.19</v>
      </c>
      <c r="D1110" s="16">
        <f t="shared" ref="D1110:AC1110" si="550">SUM(D1099:D1109)</f>
        <v>4172394.51</v>
      </c>
      <c r="E1110" s="396">
        <f t="shared" si="550"/>
        <v>1</v>
      </c>
      <c r="F1110" s="16">
        <f t="shared" si="550"/>
        <v>1612809</v>
      </c>
      <c r="G1110" s="16">
        <f t="shared" si="550"/>
        <v>3703114.68</v>
      </c>
      <c r="H1110" s="16">
        <f t="shared" si="550"/>
        <v>7516676.0700000003</v>
      </c>
      <c r="I1110" s="16">
        <f t="shared" si="550"/>
        <v>36707730.5</v>
      </c>
      <c r="J1110" s="396">
        <f t="shared" si="550"/>
        <v>3</v>
      </c>
      <c r="K1110" s="16">
        <f t="shared" si="550"/>
        <v>7773642.4800000004</v>
      </c>
      <c r="L1110" s="16">
        <f t="shared" si="550"/>
        <v>7471972.5599999996</v>
      </c>
      <c r="M1110" s="16">
        <f t="shared" si="550"/>
        <v>0</v>
      </c>
      <c r="N1110" s="16">
        <f t="shared" si="550"/>
        <v>0</v>
      </c>
      <c r="O1110" s="16">
        <f t="shared" si="550"/>
        <v>0</v>
      </c>
      <c r="P1110" s="16">
        <f t="shared" si="550"/>
        <v>44891545.770000003</v>
      </c>
      <c r="Q1110" s="16">
        <f t="shared" si="550"/>
        <v>17083467.23</v>
      </c>
      <c r="R1110" s="16">
        <f t="shared" si="550"/>
        <v>122367131.31</v>
      </c>
      <c r="S1110" s="16">
        <f t="shared" si="550"/>
        <v>6280179.79</v>
      </c>
      <c r="T1110" s="16">
        <f t="shared" si="550"/>
        <v>0</v>
      </c>
      <c r="U1110" s="16">
        <f t="shared" si="550"/>
        <v>0</v>
      </c>
      <c r="V1110" s="16">
        <f t="shared" si="550"/>
        <v>12599376.449999999</v>
      </c>
      <c r="W1110" s="16">
        <f t="shared" si="550"/>
        <v>3612104.32</v>
      </c>
      <c r="X1110" s="16">
        <f t="shared" si="550"/>
        <v>51146.52</v>
      </c>
      <c r="Y1110" s="16">
        <f t="shared" si="550"/>
        <v>0</v>
      </c>
      <c r="Z1110" s="16">
        <f t="shared" si="550"/>
        <v>126111304.43000001</v>
      </c>
      <c r="AA1110" s="16">
        <f t="shared" si="550"/>
        <v>0</v>
      </c>
      <c r="AB1110" s="16">
        <f t="shared" si="550"/>
        <v>149731986.75999999</v>
      </c>
      <c r="AC1110" s="16">
        <f t="shared" si="550"/>
        <v>0</v>
      </c>
      <c r="AD1110" s="798" t="s">
        <v>29</v>
      </c>
      <c r="AE1110" s="798" t="s">
        <v>29</v>
      </c>
      <c r="AF1110" s="808"/>
      <c r="AG1110" s="806"/>
    </row>
    <row r="1111" spans="1:33" ht="24" customHeight="1">
      <c r="A1111" s="888" t="s">
        <v>353</v>
      </c>
      <c r="B1111" s="888"/>
      <c r="C1111" s="888"/>
      <c r="D1111" s="888"/>
      <c r="E1111" s="888"/>
      <c r="F1111" s="888"/>
      <c r="G1111" s="888"/>
      <c r="H1111" s="888"/>
      <c r="I1111" s="888"/>
      <c r="J1111" s="888"/>
      <c r="K1111" s="888"/>
      <c r="L1111" s="888"/>
      <c r="M1111" s="888"/>
      <c r="N1111" s="888"/>
      <c r="O1111" s="888"/>
      <c r="P1111" s="888"/>
      <c r="Q1111" s="888"/>
      <c r="R1111" s="888"/>
      <c r="S1111" s="888"/>
      <c r="T1111" s="889"/>
      <c r="U1111" s="889"/>
      <c r="V1111" s="888"/>
      <c r="W1111" s="888"/>
      <c r="X1111" s="888"/>
      <c r="Y1111" s="888"/>
      <c r="Z1111" s="888"/>
      <c r="AA1111" s="888"/>
      <c r="AB1111" s="888"/>
      <c r="AC1111" s="888"/>
      <c r="AD1111" s="888"/>
      <c r="AE1111" s="888"/>
      <c r="AF1111" s="808"/>
      <c r="AG1111" s="806"/>
    </row>
    <row r="1112" spans="1:33" ht="24" customHeight="1">
      <c r="A1112" s="498">
        <f>A1109+1</f>
        <v>21</v>
      </c>
      <c r="B1112" s="435" t="s">
        <v>1017</v>
      </c>
      <c r="C1112" s="418">
        <f>D1112+F1112+G1112+H1112+I1112+K1112+L1112+M1112+O1112+P1112+Q1112+R1112+S1112+W1112+V1112+X1112</f>
        <v>20699363.25</v>
      </c>
      <c r="D1112" s="575">
        <v>1117321.52</v>
      </c>
      <c r="E1112" s="510"/>
      <c r="F1112" s="510"/>
      <c r="G1112" s="575">
        <v>870884.72</v>
      </c>
      <c r="H1112" s="496">
        <v>1992879.47</v>
      </c>
      <c r="I1112" s="575">
        <v>10566837.9</v>
      </c>
      <c r="J1112" s="420">
        <v>1</v>
      </c>
      <c r="K1112" s="573">
        <v>2771340</v>
      </c>
      <c r="L1112" s="575">
        <v>2116758.21</v>
      </c>
      <c r="M1112" s="568"/>
      <c r="N1112" s="568"/>
      <c r="O1112" s="568"/>
      <c r="P1112" s="510"/>
      <c r="Q1112" s="510"/>
      <c r="R1112" s="510"/>
      <c r="S1112" s="510"/>
      <c r="T1112" s="510"/>
      <c r="U1112" s="510"/>
      <c r="V1112" s="440">
        <f>138567+99643.97+105837.91+528341.9+43544.24+55866.08</f>
        <v>971801.1</v>
      </c>
      <c r="W1112" s="425">
        <f>ROUND((D1112+F1112+G1112+H1112+I1112+L1112+M1112+O1112+P1112+Q1112+R1112+S1112)*1.5%,2)+41570.1</f>
        <v>291540.33</v>
      </c>
      <c r="X1112" s="510"/>
      <c r="Y1112" s="510"/>
      <c r="Z1112" s="510"/>
      <c r="AA1112" s="510"/>
      <c r="AB1112" s="425">
        <f>C1112</f>
        <v>20699363.25</v>
      </c>
      <c r="AC1112" s="426"/>
      <c r="AD1112" s="426">
        <v>2025</v>
      </c>
      <c r="AE1112" s="426">
        <v>2026</v>
      </c>
      <c r="AF1112" s="571"/>
      <c r="AG1112" s="571"/>
    </row>
    <row r="1113" spans="1:33" ht="24" customHeight="1">
      <c r="A1113" s="426">
        <f>A1112+1</f>
        <v>22</v>
      </c>
      <c r="B1113" s="435" t="s">
        <v>195</v>
      </c>
      <c r="C1113" s="418">
        <f>D1113+F1113+G1113+H1113+I1113+K1113+L1113+M1113+O1113+P1113+Q1113+R1113+S1113+W1113+V1113+X1113</f>
        <v>26988516.829999998</v>
      </c>
      <c r="D1113" s="428">
        <f>1579.5*660.21</f>
        <v>1042801.7</v>
      </c>
      <c r="E1113" s="574"/>
      <c r="F1113" s="428"/>
      <c r="G1113" s="421">
        <f>1579.5*620.83</f>
        <v>980600.99</v>
      </c>
      <c r="H1113" s="429">
        <v>1535147.64</v>
      </c>
      <c r="I1113" s="429">
        <f>1579.5*3990.81</f>
        <v>6303484.4000000004</v>
      </c>
      <c r="J1113" s="420">
        <v>1</v>
      </c>
      <c r="K1113" s="428">
        <v>2501151.2400000002</v>
      </c>
      <c r="L1113" s="421">
        <f>1579.5*903.99</f>
        <v>1427852.21</v>
      </c>
      <c r="M1113" s="422"/>
      <c r="N1113" s="422"/>
      <c r="O1113" s="422"/>
      <c r="P1113" s="425">
        <v>11419121.609999999</v>
      </c>
      <c r="Q1113" s="428"/>
      <c r="R1113" s="572"/>
      <c r="S1113" s="429"/>
      <c r="T1113" s="429"/>
      <c r="U1113" s="429"/>
      <c r="V1113" s="417">
        <f>752491.2+76757.38+570956.08</f>
        <v>1400204.66</v>
      </c>
      <c r="W1113" s="425">
        <f>183838.34+23027.22+171286.82</f>
        <v>378152.38</v>
      </c>
      <c r="X1113" s="572"/>
      <c r="Y1113" s="572"/>
      <c r="Z1113" s="572"/>
      <c r="AA1113" s="572"/>
      <c r="AB1113" s="425">
        <f>C1113</f>
        <v>26988516.829999998</v>
      </c>
      <c r="AC1113" s="426"/>
      <c r="AD1113" s="426">
        <v>2025</v>
      </c>
      <c r="AE1113" s="426">
        <v>2026</v>
      </c>
      <c r="AF1113" s="571"/>
      <c r="AG1113" s="571"/>
    </row>
    <row r="1114" spans="1:33" ht="24" customHeight="1">
      <c r="A1114" s="18">
        <f>A1113+1</f>
        <v>23</v>
      </c>
      <c r="B1114" s="20" t="s">
        <v>271</v>
      </c>
      <c r="C1114" s="4">
        <f t="shared" ref="C1114:C1116" si="551">D1114+F1114+G1114+H1114+I1114+K1114+L1114+M1114+O1114+P1114+Q1114+R1114+S1114+W1114+V1114+X1114</f>
        <v>13402249.82</v>
      </c>
      <c r="D1114" s="9"/>
      <c r="E1114" s="15"/>
      <c r="F1114" s="21"/>
      <c r="G1114" s="12"/>
      <c r="H1114" s="21"/>
      <c r="I1114" s="13"/>
      <c r="J1114" s="21"/>
      <c r="K1114" s="9"/>
      <c r="L1114" s="12"/>
      <c r="M1114" s="22"/>
      <c r="N1114" s="22"/>
      <c r="O1114" s="22"/>
      <c r="P1114" s="9">
        <f>ROUND(3348.5*3727.29,2)</f>
        <v>12480830.57</v>
      </c>
      <c r="Q1114" s="21"/>
      <c r="R1114" s="15"/>
      <c r="S1114" s="15"/>
      <c r="T1114" s="119"/>
      <c r="U1114" s="119"/>
      <c r="V1114" s="3">
        <v>734206.8</v>
      </c>
      <c r="W1114" s="24">
        <v>187212.45</v>
      </c>
      <c r="X1114" s="15"/>
      <c r="Y1114" s="15"/>
      <c r="Z1114" s="15"/>
      <c r="AA1114" s="15"/>
      <c r="AB1114" s="24">
        <f t="shared" ref="AB1114:AB1116" si="552">C1114</f>
        <v>13402249.82</v>
      </c>
      <c r="AC1114" s="18"/>
      <c r="AD1114" s="18">
        <v>2025</v>
      </c>
      <c r="AE1114" s="18">
        <v>2025</v>
      </c>
      <c r="AF1114" s="808"/>
      <c r="AG1114" s="806"/>
    </row>
    <row r="1115" spans="1:33" ht="24" customHeight="1">
      <c r="A1115" s="18">
        <f t="shared" ref="A1115:A1116" si="553">A1114+1</f>
        <v>24</v>
      </c>
      <c r="B1115" s="20" t="s">
        <v>272</v>
      </c>
      <c r="C1115" s="4">
        <f t="shared" si="551"/>
        <v>13263231.99</v>
      </c>
      <c r="D1115" s="9"/>
      <c r="E1115" s="15"/>
      <c r="F1115" s="21"/>
      <c r="G1115" s="12"/>
      <c r="H1115" s="13">
        <f>1245.6*1074.75</f>
        <v>1338708.6000000001</v>
      </c>
      <c r="I1115" s="13">
        <f>1245.6*4857.9</f>
        <v>6051000.2400000002</v>
      </c>
      <c r="J1115" s="420">
        <v>1</v>
      </c>
      <c r="K1115" s="9">
        <v>2501151.2400000002</v>
      </c>
      <c r="L1115" s="12"/>
      <c r="M1115" s="22"/>
      <c r="N1115" s="22"/>
      <c r="O1115" s="22"/>
      <c r="P1115" s="21"/>
      <c r="Q1115" s="9">
        <f>ROUND(1245.6*1954.25,2)</f>
        <v>2434213.7999999998</v>
      </c>
      <c r="R1115" s="15"/>
      <c r="S1115" s="15"/>
      <c r="T1115" s="119"/>
      <c r="U1115" s="119"/>
      <c r="V1115" s="3">
        <v>753282</v>
      </c>
      <c r="W1115" s="24">
        <f t="shared" ref="W1115:W1116" si="554">ROUND((D1115+F1115+G1115+H1115+I1115+K1115+L1115+M1115+O1115+P1115+Q1115+R1115+S1115)*1.5%,2)</f>
        <v>184876.11</v>
      </c>
      <c r="X1115" s="15"/>
      <c r="Y1115" s="15"/>
      <c r="Z1115" s="15"/>
      <c r="AA1115" s="15"/>
      <c r="AB1115" s="24">
        <f t="shared" si="552"/>
        <v>13263231.99</v>
      </c>
      <c r="AC1115" s="18"/>
      <c r="AD1115" s="18">
        <v>2025</v>
      </c>
      <c r="AE1115" s="18">
        <v>2025</v>
      </c>
      <c r="AF1115" s="808"/>
      <c r="AG1115" s="806"/>
    </row>
    <row r="1116" spans="1:33" ht="24" customHeight="1">
      <c r="A1116" s="18">
        <f t="shared" si="553"/>
        <v>25</v>
      </c>
      <c r="B1116" s="20" t="s">
        <v>273</v>
      </c>
      <c r="C1116" s="4">
        <f t="shared" si="551"/>
        <v>13563233.779999999</v>
      </c>
      <c r="D1116" s="9"/>
      <c r="E1116" s="15"/>
      <c r="F1116" s="21"/>
      <c r="G1116" s="12"/>
      <c r="H1116" s="13"/>
      <c r="I1116" s="13"/>
      <c r="J1116" s="21"/>
      <c r="K1116" s="9"/>
      <c r="L1116" s="12"/>
      <c r="M1116" s="22"/>
      <c r="N1116" s="22"/>
      <c r="O1116" s="22"/>
      <c r="P1116" s="21"/>
      <c r="Q1116" s="21"/>
      <c r="R1116" s="9">
        <f>ROUND(1260.1*8635.27,2)</f>
        <v>10881303.73</v>
      </c>
      <c r="S1116" s="9">
        <f>ROUND(1260.1*1462.9,2)</f>
        <v>1843400.29</v>
      </c>
      <c r="T1116" s="108"/>
      <c r="U1116" s="108"/>
      <c r="V1116" s="3">
        <v>647659.19999999995</v>
      </c>
      <c r="W1116" s="24">
        <f t="shared" si="554"/>
        <v>190870.56</v>
      </c>
      <c r="X1116" s="15"/>
      <c r="Y1116" s="15"/>
      <c r="Z1116" s="15"/>
      <c r="AA1116" s="15"/>
      <c r="AB1116" s="24">
        <f t="shared" si="552"/>
        <v>13563233.779999999</v>
      </c>
      <c r="AC1116" s="18"/>
      <c r="AD1116" s="18">
        <v>2025</v>
      </c>
      <c r="AE1116" s="18">
        <v>2025</v>
      </c>
      <c r="AF1116" s="808"/>
      <c r="AG1116" s="806"/>
    </row>
    <row r="1117" spans="1:33" s="148" customFormat="1" ht="24" customHeight="1">
      <c r="A1117" s="883" t="s">
        <v>262</v>
      </c>
      <c r="B1117" s="883"/>
      <c r="C1117" s="16">
        <f>SUM(C1112:C1116)</f>
        <v>87916595.670000002</v>
      </c>
      <c r="D1117" s="16">
        <f t="shared" ref="D1117:AC1117" si="555">SUM(D1112:D1116)</f>
        <v>2160123.2200000002</v>
      </c>
      <c r="E1117" s="16">
        <f t="shared" si="555"/>
        <v>0</v>
      </c>
      <c r="F1117" s="16">
        <f t="shared" si="555"/>
        <v>0</v>
      </c>
      <c r="G1117" s="16">
        <f t="shared" si="555"/>
        <v>1851485.71</v>
      </c>
      <c r="H1117" s="16">
        <f t="shared" si="555"/>
        <v>4866735.71</v>
      </c>
      <c r="I1117" s="16">
        <f t="shared" si="555"/>
        <v>22921322.539999999</v>
      </c>
      <c r="J1117" s="396">
        <f t="shared" si="555"/>
        <v>3</v>
      </c>
      <c r="K1117" s="16">
        <f t="shared" si="555"/>
        <v>7773642.4800000004</v>
      </c>
      <c r="L1117" s="16">
        <f t="shared" si="555"/>
        <v>3544610.42</v>
      </c>
      <c r="M1117" s="16">
        <f t="shared" si="555"/>
        <v>0</v>
      </c>
      <c r="N1117" s="16">
        <f t="shared" si="555"/>
        <v>0</v>
      </c>
      <c r="O1117" s="16">
        <f t="shared" si="555"/>
        <v>0</v>
      </c>
      <c r="P1117" s="16">
        <f t="shared" si="555"/>
        <v>23899952.18</v>
      </c>
      <c r="Q1117" s="16">
        <f t="shared" si="555"/>
        <v>2434213.7999999998</v>
      </c>
      <c r="R1117" s="16">
        <f t="shared" si="555"/>
        <v>10881303.73</v>
      </c>
      <c r="S1117" s="16">
        <f t="shared" si="555"/>
        <v>1843400.29</v>
      </c>
      <c r="T1117" s="16">
        <f t="shared" si="555"/>
        <v>0</v>
      </c>
      <c r="U1117" s="16">
        <f t="shared" si="555"/>
        <v>0</v>
      </c>
      <c r="V1117" s="16">
        <f t="shared" si="555"/>
        <v>4507153.76</v>
      </c>
      <c r="W1117" s="16">
        <f t="shared" si="555"/>
        <v>1232651.83</v>
      </c>
      <c r="X1117" s="16">
        <f t="shared" si="555"/>
        <v>0</v>
      </c>
      <c r="Y1117" s="16">
        <f t="shared" si="555"/>
        <v>0</v>
      </c>
      <c r="Z1117" s="16">
        <f t="shared" si="555"/>
        <v>0</v>
      </c>
      <c r="AA1117" s="16">
        <f t="shared" si="555"/>
        <v>0</v>
      </c>
      <c r="AB1117" s="16">
        <f t="shared" si="555"/>
        <v>87916595.670000002</v>
      </c>
      <c r="AC1117" s="16">
        <f t="shared" si="555"/>
        <v>0</v>
      </c>
      <c r="AD1117" s="798" t="s">
        <v>29</v>
      </c>
      <c r="AE1117" s="798" t="s">
        <v>29</v>
      </c>
      <c r="AF1117" s="146"/>
      <c r="AG1117" s="147"/>
    </row>
    <row r="1118" spans="1:33" ht="24" customHeight="1">
      <c r="A1118" s="888" t="s">
        <v>354</v>
      </c>
      <c r="B1118" s="888"/>
      <c r="C1118" s="888"/>
      <c r="D1118" s="888"/>
      <c r="E1118" s="888"/>
      <c r="F1118" s="888"/>
      <c r="G1118" s="888"/>
      <c r="H1118" s="888"/>
      <c r="I1118" s="888"/>
      <c r="J1118" s="888"/>
      <c r="K1118" s="888"/>
      <c r="L1118" s="888"/>
      <c r="M1118" s="888"/>
      <c r="N1118" s="888"/>
      <c r="O1118" s="888"/>
      <c r="P1118" s="888"/>
      <c r="Q1118" s="888"/>
      <c r="R1118" s="888"/>
      <c r="S1118" s="888"/>
      <c r="T1118" s="889"/>
      <c r="U1118" s="889"/>
      <c r="V1118" s="888"/>
      <c r="W1118" s="888"/>
      <c r="X1118" s="888"/>
      <c r="Y1118" s="888"/>
      <c r="Z1118" s="888"/>
      <c r="AA1118" s="888"/>
      <c r="AB1118" s="888"/>
      <c r="AC1118" s="888"/>
      <c r="AD1118" s="888"/>
      <c r="AE1118" s="888"/>
      <c r="AF1118" s="808"/>
      <c r="AG1118" s="806"/>
    </row>
    <row r="1119" spans="1:33" ht="24" customHeight="1">
      <c r="A1119" s="426">
        <f>A1116+1</f>
        <v>26</v>
      </c>
      <c r="B1119" s="435" t="s">
        <v>1018</v>
      </c>
      <c r="C1119" s="493">
        <f t="shared" ref="C1119:C1121" si="556">D1119+F1119+G1119+H1119+I1119+K1119+L1119+M1119+O1119+P1119+Q1119+R1119+S1119+W1119+V1119+X1119</f>
        <v>31915114.289999999</v>
      </c>
      <c r="D1119" s="496">
        <v>4227269.07</v>
      </c>
      <c r="E1119" s="496"/>
      <c r="F1119" s="496"/>
      <c r="G1119" s="575">
        <v>2906923.58</v>
      </c>
      <c r="H1119" s="496">
        <v>4172150.93</v>
      </c>
      <c r="I1119" s="496">
        <v>15971080.640000001</v>
      </c>
      <c r="J1119" s="420">
        <v>1</v>
      </c>
      <c r="K1119" s="573">
        <v>2593865.02</v>
      </c>
      <c r="L1119" s="575"/>
      <c r="M1119" s="575"/>
      <c r="N1119" s="575"/>
      <c r="O1119" s="575"/>
      <c r="P1119" s="496"/>
      <c r="Q1119" s="496"/>
      <c r="R1119" s="496"/>
      <c r="S1119" s="496"/>
      <c r="T1119" s="496"/>
      <c r="U1119" s="496"/>
      <c r="V1119" s="496">
        <f>853191.94+155290.92+225825.16+222880.69+138567</f>
        <v>1595755.71</v>
      </c>
      <c r="W1119" s="425">
        <f>ROUND((D1119+F1119+G1119+H1119+I1119+K1119+L1119+M1119+O1119+P1119+Q1119+R1119+S1119)*1.5%,2)</f>
        <v>448069.34</v>
      </c>
      <c r="X1119" s="576"/>
      <c r="Y1119" s="576"/>
      <c r="Z1119" s="576"/>
      <c r="AA1119" s="576"/>
      <c r="AB1119" s="425">
        <f t="shared" ref="AB1119:AB1121" si="557">C1119</f>
        <v>31915114.289999999</v>
      </c>
      <c r="AC1119" s="576"/>
      <c r="AD1119" s="426">
        <v>2025</v>
      </c>
      <c r="AE1119" s="426">
        <v>2026</v>
      </c>
      <c r="AF1119" s="571"/>
      <c r="AG1119" s="571"/>
    </row>
    <row r="1120" spans="1:33" ht="24" customHeight="1">
      <c r="A1120" s="426">
        <f>A1119+1</f>
        <v>27</v>
      </c>
      <c r="B1120" s="435" t="s">
        <v>1019</v>
      </c>
      <c r="C1120" s="418">
        <f t="shared" si="556"/>
        <v>7475741.21</v>
      </c>
      <c r="D1120" s="510"/>
      <c r="E1120" s="510"/>
      <c r="F1120" s="510"/>
      <c r="G1120" s="568"/>
      <c r="H1120" s="510"/>
      <c r="I1120" s="510"/>
      <c r="J1120" s="510"/>
      <c r="K1120" s="510"/>
      <c r="L1120" s="827"/>
      <c r="M1120" s="827"/>
      <c r="N1120" s="827"/>
      <c r="O1120" s="827"/>
      <c r="P1120" s="735">
        <v>6996999.1600000001</v>
      </c>
      <c r="Q1120" s="828"/>
      <c r="R1120" s="828"/>
      <c r="S1120" s="828"/>
      <c r="T1120" s="828"/>
      <c r="U1120" s="828"/>
      <c r="V1120" s="496">
        <v>373787.06</v>
      </c>
      <c r="W1120" s="425">
        <f t="shared" ref="W1120:W1121" si="558">ROUND((D1120+F1120+G1120+H1120+I1120+K1120+L1120+M1120+O1120+P1120+Q1120+R1120+S1120)*1.5%,2)</f>
        <v>104954.99</v>
      </c>
      <c r="X1120" s="510"/>
      <c r="Y1120" s="510"/>
      <c r="Z1120" s="510"/>
      <c r="AA1120" s="510"/>
      <c r="AB1120" s="425">
        <f t="shared" si="557"/>
        <v>7475741.21</v>
      </c>
      <c r="AC1120" s="510"/>
      <c r="AD1120" s="426">
        <v>2025</v>
      </c>
      <c r="AE1120" s="426">
        <v>2026</v>
      </c>
      <c r="AF1120" s="571"/>
      <c r="AG1120" s="571"/>
    </row>
    <row r="1121" spans="1:33" ht="24" customHeight="1">
      <c r="A1121" s="426">
        <f t="shared" ref="A1121:A1128" si="559">A1120+1</f>
        <v>28</v>
      </c>
      <c r="B1121" s="435" t="s">
        <v>1020</v>
      </c>
      <c r="C1121" s="418">
        <f t="shared" si="556"/>
        <v>3295568.68</v>
      </c>
      <c r="D1121" s="510"/>
      <c r="E1121" s="510"/>
      <c r="F1121" s="510"/>
      <c r="G1121" s="568"/>
      <c r="H1121" s="510"/>
      <c r="I1121" s="510"/>
      <c r="J1121" s="510"/>
      <c r="K1121" s="510"/>
      <c r="L1121" s="759">
        <v>3084522.41</v>
      </c>
      <c r="M1121" s="827"/>
      <c r="N1121" s="827"/>
      <c r="O1121" s="827"/>
      <c r="P1121" s="828"/>
      <c r="Q1121" s="828"/>
      <c r="R1121" s="828"/>
      <c r="S1121" s="828"/>
      <c r="T1121" s="828"/>
      <c r="U1121" s="828"/>
      <c r="V1121" s="496">
        <v>164778.43</v>
      </c>
      <c r="W1121" s="425">
        <f t="shared" si="558"/>
        <v>46267.839999999997</v>
      </c>
      <c r="X1121" s="510"/>
      <c r="Y1121" s="510"/>
      <c r="Z1121" s="510"/>
      <c r="AA1121" s="510"/>
      <c r="AB1121" s="425">
        <f t="shared" si="557"/>
        <v>3295568.68</v>
      </c>
      <c r="AC1121" s="510"/>
      <c r="AD1121" s="426">
        <v>2025</v>
      </c>
      <c r="AE1121" s="426">
        <v>2026</v>
      </c>
      <c r="AF1121" s="571"/>
      <c r="AG1121" s="571"/>
    </row>
    <row r="1122" spans="1:33" s="26" customFormat="1" ht="24" customHeight="1">
      <c r="A1122" s="426">
        <f t="shared" si="559"/>
        <v>29</v>
      </c>
      <c r="B1122" s="20" t="s">
        <v>198</v>
      </c>
      <c r="C1122" s="4">
        <f>D1122+F1122+G1122+H1122+I1122+K1122+L1122+M1122+O1122+P1122+Q1122+R1122+S1122+W1122+V1122+X1122</f>
        <v>14119663.810000001</v>
      </c>
      <c r="D1122" s="9"/>
      <c r="E1122" s="9"/>
      <c r="F1122" s="9"/>
      <c r="G1122" s="12"/>
      <c r="H1122" s="13"/>
      <c r="I1122" s="13"/>
      <c r="J1122" s="21"/>
      <c r="K1122" s="9"/>
      <c r="L1122" s="727"/>
      <c r="M1122" s="204"/>
      <c r="N1122" s="204"/>
      <c r="O1122" s="204"/>
      <c r="P1122" s="725"/>
      <c r="Q1122" s="725">
        <v>7334263.6299999999</v>
      </c>
      <c r="R1122" s="87"/>
      <c r="S1122" s="201">
        <v>5490236.2800000003</v>
      </c>
      <c r="T1122" s="732"/>
      <c r="U1122" s="732"/>
      <c r="V1122" s="3">
        <v>1102796.3999999999</v>
      </c>
      <c r="W1122" s="24">
        <v>192367.5</v>
      </c>
      <c r="X1122" s="21"/>
      <c r="Y1122" s="21"/>
      <c r="Z1122" s="21"/>
      <c r="AA1122" s="21"/>
      <c r="AB1122" s="24">
        <f>C1122</f>
        <v>14119663.810000001</v>
      </c>
      <c r="AC1122" s="18"/>
      <c r="AD1122" s="18">
        <v>2025</v>
      </c>
      <c r="AE1122" s="18">
        <v>2025</v>
      </c>
      <c r="AF1122" s="25"/>
      <c r="AG1122" s="91"/>
    </row>
    <row r="1123" spans="1:33" s="26" customFormat="1" ht="24" customHeight="1">
      <c r="A1123" s="426">
        <f t="shared" si="559"/>
        <v>30</v>
      </c>
      <c r="B1123" s="435" t="s">
        <v>199</v>
      </c>
      <c r="C1123" s="418">
        <f t="shared" ref="C1123:C1124" si="560">D1123+F1123+G1123+H1123+I1123+K1123+L1123+M1123+O1123+P1123+Q1123+R1123+S1123+W1123+V1123+X1123</f>
        <v>14722849.73</v>
      </c>
      <c r="D1123" s="428"/>
      <c r="E1123" s="428"/>
      <c r="F1123" s="428"/>
      <c r="G1123" s="421"/>
      <c r="H1123" s="429"/>
      <c r="I1123" s="429"/>
      <c r="J1123" s="420"/>
      <c r="K1123" s="428"/>
      <c r="L1123" s="736"/>
      <c r="M1123" s="737"/>
      <c r="N1123" s="737"/>
      <c r="O1123" s="737"/>
      <c r="P1123" s="563">
        <v>13780007.130000001</v>
      </c>
      <c r="Q1123" s="563"/>
      <c r="R1123" s="734"/>
      <c r="S1123" s="747"/>
      <c r="T1123" s="747"/>
      <c r="U1123" s="747"/>
      <c r="V1123" s="417">
        <v>736142.49</v>
      </c>
      <c r="W1123" s="425">
        <f t="shared" ref="W1123:W1124" si="561">ROUND((D1123+F1123+G1123+H1123+I1123+K1123+L1123+M1123+O1123+P1123+Q1123+R1123+S1123)*1.5%,2)</f>
        <v>206700.11</v>
      </c>
      <c r="X1123" s="420"/>
      <c r="Y1123" s="420"/>
      <c r="Z1123" s="420"/>
      <c r="AA1123" s="420"/>
      <c r="AB1123" s="425">
        <f t="shared" ref="AB1123:AB1124" si="562">C1123</f>
        <v>14722849.73</v>
      </c>
      <c r="AC1123" s="426"/>
      <c r="AD1123" s="426">
        <v>2025</v>
      </c>
      <c r="AE1123" s="426">
        <v>2026</v>
      </c>
      <c r="AF1123" s="91"/>
      <c r="AG1123" s="91"/>
    </row>
    <row r="1124" spans="1:33" s="26" customFormat="1" ht="24" customHeight="1">
      <c r="A1124" s="426">
        <f t="shared" si="559"/>
        <v>31</v>
      </c>
      <c r="B1124" s="435" t="s">
        <v>201</v>
      </c>
      <c r="C1124" s="418">
        <f t="shared" si="560"/>
        <v>2974196.15</v>
      </c>
      <c r="D1124" s="428"/>
      <c r="E1124" s="428"/>
      <c r="F1124" s="428"/>
      <c r="G1124" s="421"/>
      <c r="H1124" s="429"/>
      <c r="I1124" s="429"/>
      <c r="J1124" s="420"/>
      <c r="K1124" s="428"/>
      <c r="L1124" s="736">
        <v>2783730.38</v>
      </c>
      <c r="M1124" s="737"/>
      <c r="N1124" s="737"/>
      <c r="O1124" s="737"/>
      <c r="P1124" s="563"/>
      <c r="Q1124" s="563"/>
      <c r="R1124" s="734"/>
      <c r="S1124" s="747"/>
      <c r="T1124" s="747"/>
      <c r="U1124" s="747"/>
      <c r="V1124" s="417">
        <v>148709.81</v>
      </c>
      <c r="W1124" s="425">
        <f t="shared" si="561"/>
        <v>41755.96</v>
      </c>
      <c r="X1124" s="420"/>
      <c r="Y1124" s="420"/>
      <c r="Z1124" s="420"/>
      <c r="AA1124" s="420"/>
      <c r="AB1124" s="425">
        <f t="shared" si="562"/>
        <v>2974196.15</v>
      </c>
      <c r="AC1124" s="426"/>
      <c r="AD1124" s="426">
        <v>2025</v>
      </c>
      <c r="AE1124" s="426">
        <v>2026</v>
      </c>
      <c r="AF1124" s="91"/>
      <c r="AG1124" s="91"/>
    </row>
    <row r="1125" spans="1:33" s="26" customFormat="1" ht="24" customHeight="1">
      <c r="A1125" s="426">
        <f t="shared" si="559"/>
        <v>32</v>
      </c>
      <c r="B1125" s="20" t="s">
        <v>274</v>
      </c>
      <c r="C1125" s="4">
        <f t="shared" ref="C1125:C1127" si="563">D1125+F1125+G1125+H1125+I1125+K1125+L1125+M1125+O1125+P1125+Q1125+R1125+S1125+W1125+V1125+X1125</f>
        <v>8988471.3599999994</v>
      </c>
      <c r="D1125" s="9"/>
      <c r="E1125" s="21"/>
      <c r="F1125" s="21"/>
      <c r="G1125" s="12"/>
      <c r="H1125" s="9"/>
      <c r="I1125" s="13"/>
      <c r="J1125" s="18"/>
      <c r="K1125" s="9"/>
      <c r="L1125" s="727"/>
      <c r="M1125" s="204"/>
      <c r="N1125" s="204"/>
      <c r="O1125" s="204"/>
      <c r="P1125" s="87"/>
      <c r="Q1125" s="725">
        <v>4067560.01</v>
      </c>
      <c r="R1125" s="725"/>
      <c r="S1125" s="725">
        <v>3044868.13</v>
      </c>
      <c r="T1125" s="739"/>
      <c r="U1125" s="739"/>
      <c r="V1125" s="3">
        <v>1769356.8</v>
      </c>
      <c r="W1125" s="24">
        <v>106686.42</v>
      </c>
      <c r="X1125" s="21"/>
      <c r="Y1125" s="21"/>
      <c r="Z1125" s="21"/>
      <c r="AA1125" s="21"/>
      <c r="AB1125" s="24">
        <f t="shared" ref="AB1125:AB1127" si="564">C1125</f>
        <v>8988471.3599999994</v>
      </c>
      <c r="AC1125" s="18"/>
      <c r="AD1125" s="18">
        <v>2025</v>
      </c>
      <c r="AE1125" s="18">
        <v>2025</v>
      </c>
      <c r="AF1125" s="25"/>
      <c r="AG1125" s="91"/>
    </row>
    <row r="1126" spans="1:33" s="26" customFormat="1" ht="24" customHeight="1">
      <c r="A1126" s="426">
        <f t="shared" si="559"/>
        <v>33</v>
      </c>
      <c r="B1126" s="435" t="s">
        <v>275</v>
      </c>
      <c r="C1126" s="418">
        <f t="shared" si="563"/>
        <v>17768197.239999998</v>
      </c>
      <c r="D1126" s="428"/>
      <c r="E1126" s="420"/>
      <c r="F1126" s="420"/>
      <c r="G1126" s="421"/>
      <c r="H1126" s="429"/>
      <c r="I1126" s="429"/>
      <c r="J1126" s="420"/>
      <c r="K1126" s="428"/>
      <c r="L1126" s="736"/>
      <c r="M1126" s="737"/>
      <c r="N1126" s="737"/>
      <c r="O1126" s="737"/>
      <c r="P1126" s="735">
        <v>14325500.43</v>
      </c>
      <c r="Q1126" s="563">
        <v>1813370.44</v>
      </c>
      <c r="R1126" s="734"/>
      <c r="S1126" s="563"/>
      <c r="T1126" s="563"/>
      <c r="U1126" s="563"/>
      <c r="V1126" s="417">
        <f>621960+765283.31</f>
        <v>1387243.31</v>
      </c>
      <c r="W1126" s="425">
        <f t="shared" ref="W1126:W1128" si="565">ROUND((D1126+F1126+G1126+H1126+I1126+K1126+L1126+M1126+O1126+P1126+Q1126+R1126+S1126)*1.5%,2)</f>
        <v>242083.06</v>
      </c>
      <c r="X1126" s="420"/>
      <c r="Y1126" s="420"/>
      <c r="Z1126" s="420"/>
      <c r="AA1126" s="420"/>
      <c r="AB1126" s="425">
        <f t="shared" si="564"/>
        <v>17768197.239999998</v>
      </c>
      <c r="AC1126" s="426"/>
      <c r="AD1126" s="426">
        <v>2025</v>
      </c>
      <c r="AE1126" s="426">
        <v>2026</v>
      </c>
      <c r="AF1126" s="91"/>
      <c r="AG1126" s="91"/>
    </row>
    <row r="1127" spans="1:33" s="26" customFormat="1" ht="24" customHeight="1">
      <c r="A1127" s="426">
        <f t="shared" si="559"/>
        <v>34</v>
      </c>
      <c r="B1127" s="435" t="s">
        <v>276</v>
      </c>
      <c r="C1127" s="418">
        <f t="shared" si="563"/>
        <v>45487669.829999998</v>
      </c>
      <c r="D1127" s="428"/>
      <c r="E1127" s="420"/>
      <c r="F1127" s="420"/>
      <c r="G1127" s="421"/>
      <c r="H1127" s="429"/>
      <c r="I1127" s="429"/>
      <c r="J1127" s="420"/>
      <c r="K1127" s="428"/>
      <c r="L1127" s="736">
        <v>11984253.359999999</v>
      </c>
      <c r="M1127" s="737"/>
      <c r="N1127" s="737"/>
      <c r="O1127" s="737"/>
      <c r="P1127" s="563">
        <v>30614206.399999999</v>
      </c>
      <c r="Q1127" s="563"/>
      <c r="R1127" s="563"/>
      <c r="S1127" s="563"/>
      <c r="T1127" s="563"/>
      <c r="U1127" s="563"/>
      <c r="V1127" s="417">
        <f>1610021.74+640211.43</f>
        <v>2250233.17</v>
      </c>
      <c r="W1127" s="425">
        <f t="shared" si="565"/>
        <v>638976.9</v>
      </c>
      <c r="X1127" s="420"/>
      <c r="Y1127" s="420"/>
      <c r="Z1127" s="420"/>
      <c r="AA1127" s="420"/>
      <c r="AB1127" s="425">
        <f t="shared" si="564"/>
        <v>45487669.829999998</v>
      </c>
      <c r="AC1127" s="426"/>
      <c r="AD1127" s="426">
        <v>2025</v>
      </c>
      <c r="AE1127" s="426">
        <v>2026</v>
      </c>
      <c r="AF1127" s="91"/>
      <c r="AG1127" s="91"/>
    </row>
    <row r="1128" spans="1:33" s="26" customFormat="1" ht="24" customHeight="1">
      <c r="A1128" s="426">
        <f t="shared" si="559"/>
        <v>35</v>
      </c>
      <c r="B1128" s="435" t="s">
        <v>1119</v>
      </c>
      <c r="C1128" s="418">
        <f>D1128+F1128+G1128+H1128+I1128+K1128+L1128+M1128+O1128+P1128+Q1128+R1128+S1128+W1128+V1128+X1128</f>
        <v>1469345.91</v>
      </c>
      <c r="D1128" s="428"/>
      <c r="E1128" s="420"/>
      <c r="F1128" s="420"/>
      <c r="G1128" s="421"/>
      <c r="H1128" s="429"/>
      <c r="I1128" s="429"/>
      <c r="J1128" s="420"/>
      <c r="K1128" s="428"/>
      <c r="L1128" s="736">
        <v>1375249.86</v>
      </c>
      <c r="M1128" s="737"/>
      <c r="N1128" s="737"/>
      <c r="O1128" s="737"/>
      <c r="P1128" s="563"/>
      <c r="Q1128" s="563"/>
      <c r="R1128" s="563"/>
      <c r="S1128" s="563"/>
      <c r="T1128" s="563"/>
      <c r="U1128" s="563"/>
      <c r="V1128" s="417">
        <v>73467.3</v>
      </c>
      <c r="W1128" s="425">
        <f t="shared" si="565"/>
        <v>20628.75</v>
      </c>
      <c r="X1128" s="420"/>
      <c r="Y1128" s="420"/>
      <c r="Z1128" s="420"/>
      <c r="AA1128" s="420"/>
      <c r="AB1128" s="425">
        <f>C1128</f>
        <v>1469345.91</v>
      </c>
      <c r="AC1128" s="426"/>
      <c r="AD1128" s="426">
        <v>2025</v>
      </c>
      <c r="AE1128" s="426">
        <v>2026</v>
      </c>
      <c r="AF1128" s="91"/>
      <c r="AG1128" s="91"/>
    </row>
    <row r="1129" spans="1:33" s="148" customFormat="1" ht="24" customHeight="1">
      <c r="A1129" s="883" t="s">
        <v>262</v>
      </c>
      <c r="B1129" s="883"/>
      <c r="C1129" s="16">
        <f>SUM(C1119:C1128)</f>
        <v>148216818.21000001</v>
      </c>
      <c r="D1129" s="16">
        <f t="shared" ref="D1129:AC1129" si="566">SUM(D1119:D1128)</f>
        <v>4227269.07</v>
      </c>
      <c r="E1129" s="16">
        <f t="shared" si="566"/>
        <v>0</v>
      </c>
      <c r="F1129" s="16">
        <f t="shared" si="566"/>
        <v>0</v>
      </c>
      <c r="G1129" s="16">
        <f t="shared" si="566"/>
        <v>2906923.58</v>
      </c>
      <c r="H1129" s="16">
        <f t="shared" si="566"/>
        <v>4172150.93</v>
      </c>
      <c r="I1129" s="16">
        <f t="shared" si="566"/>
        <v>15971080.640000001</v>
      </c>
      <c r="J1129" s="396">
        <f t="shared" si="566"/>
        <v>1</v>
      </c>
      <c r="K1129" s="16">
        <f t="shared" si="566"/>
        <v>2593865.02</v>
      </c>
      <c r="L1129" s="16">
        <f t="shared" si="566"/>
        <v>19227756.010000002</v>
      </c>
      <c r="M1129" s="16">
        <f t="shared" si="566"/>
        <v>0</v>
      </c>
      <c r="N1129" s="16">
        <f t="shared" si="566"/>
        <v>0</v>
      </c>
      <c r="O1129" s="16">
        <f t="shared" si="566"/>
        <v>0</v>
      </c>
      <c r="P1129" s="16">
        <f t="shared" si="566"/>
        <v>65716713.119999997</v>
      </c>
      <c r="Q1129" s="16">
        <f t="shared" si="566"/>
        <v>13215194.08</v>
      </c>
      <c r="R1129" s="16">
        <f t="shared" si="566"/>
        <v>0</v>
      </c>
      <c r="S1129" s="16">
        <f t="shared" si="566"/>
        <v>8535104.4100000001</v>
      </c>
      <c r="T1129" s="16">
        <f t="shared" si="566"/>
        <v>0</v>
      </c>
      <c r="U1129" s="16">
        <f t="shared" si="566"/>
        <v>0</v>
      </c>
      <c r="V1129" s="16">
        <f t="shared" si="566"/>
        <v>9602270.4800000004</v>
      </c>
      <c r="W1129" s="16">
        <f t="shared" si="566"/>
        <v>2048490.87</v>
      </c>
      <c r="X1129" s="16">
        <f t="shared" si="566"/>
        <v>0</v>
      </c>
      <c r="Y1129" s="16">
        <f t="shared" si="566"/>
        <v>0</v>
      </c>
      <c r="Z1129" s="16">
        <f t="shared" si="566"/>
        <v>0</v>
      </c>
      <c r="AA1129" s="16">
        <f t="shared" si="566"/>
        <v>0</v>
      </c>
      <c r="AB1129" s="16">
        <f t="shared" si="566"/>
        <v>148216818.21000001</v>
      </c>
      <c r="AC1129" s="16">
        <f t="shared" si="566"/>
        <v>0</v>
      </c>
      <c r="AD1129" s="798" t="s">
        <v>29</v>
      </c>
      <c r="AE1129" s="798" t="s">
        <v>29</v>
      </c>
      <c r="AF1129" s="146"/>
      <c r="AG1129" s="147"/>
    </row>
    <row r="1130" spans="1:33" ht="24" customHeight="1">
      <c r="A1130" s="888" t="s">
        <v>355</v>
      </c>
      <c r="B1130" s="888"/>
      <c r="C1130" s="888"/>
      <c r="D1130" s="888"/>
      <c r="E1130" s="888"/>
      <c r="F1130" s="888"/>
      <c r="G1130" s="888"/>
      <c r="H1130" s="888"/>
      <c r="I1130" s="888"/>
      <c r="J1130" s="888"/>
      <c r="K1130" s="888"/>
      <c r="L1130" s="888"/>
      <c r="M1130" s="888"/>
      <c r="N1130" s="888"/>
      <c r="O1130" s="888"/>
      <c r="P1130" s="888"/>
      <c r="Q1130" s="888"/>
      <c r="R1130" s="888"/>
      <c r="S1130" s="888"/>
      <c r="T1130" s="889"/>
      <c r="U1130" s="889"/>
      <c r="V1130" s="888"/>
      <c r="W1130" s="888"/>
      <c r="X1130" s="888"/>
      <c r="Y1130" s="888"/>
      <c r="Z1130" s="888"/>
      <c r="AA1130" s="888"/>
      <c r="AB1130" s="888"/>
      <c r="AC1130" s="888"/>
      <c r="AD1130" s="888"/>
      <c r="AE1130" s="888"/>
      <c r="AF1130" s="808"/>
      <c r="AG1130" s="806"/>
    </row>
    <row r="1131" spans="1:33" s="595" customFormat="1" ht="24" customHeight="1">
      <c r="A1131" s="585">
        <f>A1128+1</f>
        <v>36</v>
      </c>
      <c r="B1131" s="586" t="s">
        <v>277</v>
      </c>
      <c r="C1131" s="587">
        <f>D1131+F1131+G1131+H1131+I1131+K1131+L1131+M1131+O1131+P1131+Q1131+R1131+S1131+W1131+V1131+X1131</f>
        <v>26957173.129999999</v>
      </c>
      <c r="D1131" s="580">
        <f>ROUND(3885.4*660.21,2)</f>
        <v>2565179.9300000002</v>
      </c>
      <c r="E1131" s="580"/>
      <c r="F1131" s="580"/>
      <c r="G1131" s="578">
        <f>ROUND(3885.4*620.83,2)</f>
        <v>2412172.88</v>
      </c>
      <c r="H1131" s="582">
        <f>ROUND(3885.4*665.62,2)</f>
        <v>2586199.9500000002</v>
      </c>
      <c r="I1131" s="582">
        <f>ROUND(3885.4*3201.73,2)</f>
        <v>12440001.74</v>
      </c>
      <c r="J1131" s="581">
        <v>1</v>
      </c>
      <c r="K1131" s="597">
        <v>2771340</v>
      </c>
      <c r="L1131" s="578">
        <f>ROUND(3885.4*616.25,2)</f>
        <v>2394377.75</v>
      </c>
      <c r="M1131" s="579"/>
      <c r="N1131" s="579"/>
      <c r="O1131" s="579"/>
      <c r="P1131" s="580"/>
      <c r="Q1131" s="580"/>
      <c r="R1131" s="581"/>
      <c r="S1131" s="582"/>
      <c r="T1131" s="582"/>
      <c r="U1131" s="582"/>
      <c r="V1131" s="583">
        <f>1271794.8+138567</f>
        <v>1410361.8</v>
      </c>
      <c r="W1131" s="584">
        <f>ROUND((D1131+F1131+G1131+H1131+I1131+K1131+L1131+M1131+O1131+P1131+Q1131+R1131+S1131)*1.5%,2)</f>
        <v>377539.08</v>
      </c>
      <c r="X1131" s="581"/>
      <c r="Y1131" s="581"/>
      <c r="Z1131" s="581"/>
      <c r="AA1131" s="581"/>
      <c r="AB1131" s="584">
        <f>C1131</f>
        <v>26957173.129999999</v>
      </c>
      <c r="AC1131" s="585"/>
      <c r="AD1131" s="585">
        <v>2025</v>
      </c>
      <c r="AE1131" s="585">
        <v>2026</v>
      </c>
      <c r="AF1131" s="594"/>
      <c r="AG1131" s="594"/>
    </row>
    <row r="1132" spans="1:33" s="595" customFormat="1" ht="24" customHeight="1">
      <c r="A1132" s="585">
        <f>A1131+1</f>
        <v>37</v>
      </c>
      <c r="B1132" s="586" t="s">
        <v>204</v>
      </c>
      <c r="C1132" s="587">
        <f t="shared" ref="C1132:C1134" si="567">D1132+F1132+G1132+H1132+I1132+K1132+L1132+M1132+O1132+P1132+Q1132+R1132+S1132+W1132+V1132+X1132</f>
        <v>2951477.1</v>
      </c>
      <c r="D1132" s="580"/>
      <c r="E1132" s="580"/>
      <c r="F1132" s="580"/>
      <c r="G1132" s="578"/>
      <c r="H1132" s="582"/>
      <c r="I1132" s="582"/>
      <c r="J1132" s="581">
        <v>1</v>
      </c>
      <c r="K1132" s="597">
        <v>2771340</v>
      </c>
      <c r="L1132" s="578"/>
      <c r="M1132" s="579"/>
      <c r="N1132" s="579"/>
      <c r="O1132" s="579"/>
      <c r="P1132" s="580"/>
      <c r="Q1132" s="580"/>
      <c r="R1132" s="581"/>
      <c r="S1132" s="582"/>
      <c r="T1132" s="582"/>
      <c r="U1132" s="582"/>
      <c r="V1132" s="583">
        <v>138567</v>
      </c>
      <c r="W1132" s="584">
        <f>ROUND((D1132+F1132+G1132+H1132+I1132+K1132+L1132+M1132+O1132+P1132+Q1132+R1132+S1132)*1.5%,2)</f>
        <v>41570.1</v>
      </c>
      <c r="X1132" s="581"/>
      <c r="Y1132" s="581"/>
      <c r="Z1132" s="581"/>
      <c r="AA1132" s="581"/>
      <c r="AB1132" s="584">
        <f t="shared" ref="AB1132:AB1134" si="568">C1132</f>
        <v>2951477.1</v>
      </c>
      <c r="AC1132" s="585"/>
      <c r="AD1132" s="585">
        <v>2025</v>
      </c>
      <c r="AE1132" s="585">
        <v>2026</v>
      </c>
      <c r="AF1132" s="594"/>
      <c r="AG1132" s="594"/>
    </row>
    <row r="1133" spans="1:33" s="595" customFormat="1" ht="24" customHeight="1">
      <c r="A1133" s="585">
        <f t="shared" ref="A1133:A1237" si="569">A1132+1</f>
        <v>38</v>
      </c>
      <c r="B1133" s="586" t="s">
        <v>58</v>
      </c>
      <c r="C1133" s="587">
        <f t="shared" si="567"/>
        <v>2951477.1</v>
      </c>
      <c r="D1133" s="580"/>
      <c r="E1133" s="580"/>
      <c r="F1133" s="580"/>
      <c r="G1133" s="578"/>
      <c r="H1133" s="582"/>
      <c r="I1133" s="582"/>
      <c r="J1133" s="581">
        <v>1</v>
      </c>
      <c r="K1133" s="597">
        <v>2771340</v>
      </c>
      <c r="L1133" s="578"/>
      <c r="M1133" s="579"/>
      <c r="N1133" s="579"/>
      <c r="O1133" s="579"/>
      <c r="P1133" s="580"/>
      <c r="Q1133" s="580"/>
      <c r="R1133" s="581"/>
      <c r="S1133" s="582"/>
      <c r="T1133" s="582"/>
      <c r="U1133" s="582"/>
      <c r="V1133" s="583">
        <v>138567</v>
      </c>
      <c r="W1133" s="584">
        <f t="shared" ref="W1133:W1134" si="570">ROUND((D1133+F1133+G1133+H1133+I1133+K1133+L1133+M1133+O1133+P1133+Q1133+R1133+S1133)*1.5%,2)</f>
        <v>41570.1</v>
      </c>
      <c r="X1133" s="581"/>
      <c r="Y1133" s="581"/>
      <c r="Z1133" s="581"/>
      <c r="AA1133" s="581"/>
      <c r="AB1133" s="584">
        <f t="shared" si="568"/>
        <v>2951477.1</v>
      </c>
      <c r="AC1133" s="585"/>
      <c r="AD1133" s="585">
        <v>2025</v>
      </c>
      <c r="AE1133" s="585">
        <v>2026</v>
      </c>
      <c r="AF1133" s="594"/>
      <c r="AG1133" s="594"/>
    </row>
    <row r="1134" spans="1:33" s="595" customFormat="1" ht="24" customHeight="1">
      <c r="A1134" s="585">
        <f t="shared" si="569"/>
        <v>39</v>
      </c>
      <c r="B1134" s="586" t="s">
        <v>59</v>
      </c>
      <c r="C1134" s="587">
        <f t="shared" si="567"/>
        <v>2951477.1</v>
      </c>
      <c r="D1134" s="580"/>
      <c r="E1134" s="580"/>
      <c r="F1134" s="580"/>
      <c r="G1134" s="578"/>
      <c r="H1134" s="582"/>
      <c r="I1134" s="582"/>
      <c r="J1134" s="581">
        <v>1</v>
      </c>
      <c r="K1134" s="597">
        <v>2771340</v>
      </c>
      <c r="L1134" s="578"/>
      <c r="M1134" s="579"/>
      <c r="N1134" s="579"/>
      <c r="O1134" s="579"/>
      <c r="P1134" s="580"/>
      <c r="Q1134" s="580"/>
      <c r="R1134" s="581"/>
      <c r="S1134" s="582"/>
      <c r="T1134" s="582"/>
      <c r="U1134" s="582"/>
      <c r="V1134" s="583">
        <v>138567</v>
      </c>
      <c r="W1134" s="584">
        <f t="shared" si="570"/>
        <v>41570.1</v>
      </c>
      <c r="X1134" s="581"/>
      <c r="Y1134" s="581"/>
      <c r="Z1134" s="581"/>
      <c r="AA1134" s="581"/>
      <c r="AB1134" s="584">
        <f t="shared" si="568"/>
        <v>2951477.1</v>
      </c>
      <c r="AC1134" s="585"/>
      <c r="AD1134" s="585">
        <v>2025</v>
      </c>
      <c r="AE1134" s="585">
        <v>2026</v>
      </c>
      <c r="AF1134" s="594"/>
      <c r="AG1134" s="594"/>
    </row>
    <row r="1135" spans="1:33" s="595" customFormat="1" ht="24" customHeight="1">
      <c r="A1135" s="585">
        <f t="shared" si="569"/>
        <v>40</v>
      </c>
      <c r="B1135" s="20" t="s">
        <v>278</v>
      </c>
      <c r="C1135" s="4">
        <f t="shared" ref="C1135:C1282" si="571">D1135+F1135+G1135+H1135+I1135+K1135+L1135+M1135+O1135+P1135+Q1135+R1135+S1135+W1135+V1135+X1135</f>
        <v>20198812.190000001</v>
      </c>
      <c r="D1135" s="9"/>
      <c r="E1135" s="21"/>
      <c r="F1135" s="21"/>
      <c r="G1135" s="12"/>
      <c r="H1135" s="21"/>
      <c r="I1135" s="13"/>
      <c r="J1135" s="18"/>
      <c r="K1135" s="7"/>
      <c r="L1135" s="12"/>
      <c r="M1135" s="22"/>
      <c r="N1135" s="22"/>
      <c r="O1135" s="22"/>
      <c r="P1135" s="21"/>
      <c r="Q1135" s="21"/>
      <c r="R1135" s="9">
        <f>ROUND(5460.5*3435.59,2)</f>
        <v>18760039.199999999</v>
      </c>
      <c r="S1135" s="21"/>
      <c r="T1135" s="107"/>
      <c r="U1135" s="107"/>
      <c r="V1135" s="3">
        <v>1157372.3999999999</v>
      </c>
      <c r="W1135" s="24">
        <f>ROUND((D1135+F1135+G1135+H1135+I1135+L1135+M1135+O1135+P1135+Q1135+R1135+S1135)*1.5%,2)</f>
        <v>281400.59000000003</v>
      </c>
      <c r="X1135" s="21"/>
      <c r="Y1135" s="21"/>
      <c r="Z1135" s="21"/>
      <c r="AA1135" s="21"/>
      <c r="AB1135" s="24">
        <f t="shared" ref="AB1135:AB1282" si="572">C1135</f>
        <v>20198812.190000001</v>
      </c>
      <c r="AC1135" s="18"/>
      <c r="AD1135" s="18">
        <v>2025</v>
      </c>
      <c r="AE1135" s="18">
        <v>2025</v>
      </c>
      <c r="AF1135" s="596"/>
      <c r="AG1135" s="594"/>
    </row>
    <row r="1136" spans="1:33" s="595" customFormat="1" ht="24" customHeight="1">
      <c r="A1136" s="585">
        <f t="shared" si="569"/>
        <v>41</v>
      </c>
      <c r="B1136" s="20" t="s">
        <v>1055</v>
      </c>
      <c r="C1136" s="4">
        <f t="shared" si="571"/>
        <v>7368181.6900000004</v>
      </c>
      <c r="D1136" s="9"/>
      <c r="E1136" s="21"/>
      <c r="F1136" s="21"/>
      <c r="G1136" s="12"/>
      <c r="H1136" s="13"/>
      <c r="I1136" s="13"/>
      <c r="J1136" s="18"/>
      <c r="K1136" s="9"/>
      <c r="L1136" s="12"/>
      <c r="M1136" s="22"/>
      <c r="N1136" s="22"/>
      <c r="O1136" s="22"/>
      <c r="P1136" s="21"/>
      <c r="Q1136" s="9">
        <f>ROUND(921.7*1954.25,2)</f>
        <v>1801232.23</v>
      </c>
      <c r="R1136" s="9">
        <f>ROUND(921.7*3842.27,2)</f>
        <v>3541420.26</v>
      </c>
      <c r="S1136" s="9">
        <f>ROUND(921.7*1135.41,2)</f>
        <v>1046507.4</v>
      </c>
      <c r="T1136" s="108"/>
      <c r="U1136" s="108"/>
      <c r="V1136" s="3">
        <v>883184.4</v>
      </c>
      <c r="W1136" s="24">
        <f>ROUND((D1136+F1136+G1136+H1136+I1136+L1136+M1136+O1136+P1136+Q1136+R1136+S1136)*1.5%,2)</f>
        <v>95837.4</v>
      </c>
      <c r="X1136" s="21"/>
      <c r="Y1136" s="21"/>
      <c r="Z1136" s="21"/>
      <c r="AA1136" s="21"/>
      <c r="AB1136" s="24">
        <f t="shared" si="572"/>
        <v>7368181.6900000004</v>
      </c>
      <c r="AC1136" s="18"/>
      <c r="AD1136" s="18">
        <v>2025</v>
      </c>
      <c r="AE1136" s="18">
        <v>2025</v>
      </c>
      <c r="AF1136" s="596"/>
      <c r="AG1136" s="594"/>
    </row>
    <row r="1137" spans="1:33" s="595" customFormat="1" ht="24" customHeight="1">
      <c r="A1137" s="585">
        <f t="shared" si="569"/>
        <v>42</v>
      </c>
      <c r="B1137" s="586" t="s">
        <v>1022</v>
      </c>
      <c r="C1137" s="587">
        <f t="shared" si="571"/>
        <v>3849957.96</v>
      </c>
      <c r="D1137" s="580"/>
      <c r="E1137" s="581"/>
      <c r="F1137" s="581"/>
      <c r="G1137" s="578"/>
      <c r="H1137" s="582"/>
      <c r="I1137" s="582"/>
      <c r="J1137" s="585"/>
      <c r="K1137" s="580"/>
      <c r="L1137" s="578"/>
      <c r="M1137" s="579"/>
      <c r="N1137" s="579">
        <v>1</v>
      </c>
      <c r="O1137" s="598">
        <v>3614984</v>
      </c>
      <c r="P1137" s="581"/>
      <c r="Q1137" s="580"/>
      <c r="R1137" s="580"/>
      <c r="S1137" s="580"/>
      <c r="T1137" s="580"/>
      <c r="U1137" s="580"/>
      <c r="V1137" s="583">
        <v>180749.2</v>
      </c>
      <c r="W1137" s="584">
        <v>54224.76</v>
      </c>
      <c r="X1137" s="581"/>
      <c r="Y1137" s="581"/>
      <c r="Z1137" s="581"/>
      <c r="AA1137" s="581"/>
      <c r="AB1137" s="584">
        <f t="shared" si="572"/>
        <v>3849957.96</v>
      </c>
      <c r="AC1137" s="585"/>
      <c r="AD1137" s="585">
        <v>2025</v>
      </c>
      <c r="AE1137" s="585">
        <v>2026</v>
      </c>
      <c r="AF1137" s="594"/>
      <c r="AG1137" s="594"/>
    </row>
    <row r="1138" spans="1:33" s="26" customFormat="1" ht="24" customHeight="1">
      <c r="A1138" s="585">
        <f t="shared" si="569"/>
        <v>43</v>
      </c>
      <c r="B1138" s="665" t="s">
        <v>1281</v>
      </c>
      <c r="C1138" s="649">
        <f t="shared" si="571"/>
        <v>1861001.14</v>
      </c>
      <c r="D1138" s="659"/>
      <c r="E1138" s="709">
        <v>1</v>
      </c>
      <c r="F1138" s="650">
        <v>1612809</v>
      </c>
      <c r="G1138" s="651"/>
      <c r="H1138" s="650"/>
      <c r="I1138" s="650"/>
      <c r="J1138" s="650"/>
      <c r="K1138" s="650"/>
      <c r="L1138" s="651"/>
      <c r="M1138" s="651"/>
      <c r="N1138" s="651"/>
      <c r="O1138" s="651"/>
      <c r="P1138" s="650"/>
      <c r="Q1138" s="650"/>
      <c r="R1138" s="650"/>
      <c r="S1138" s="650"/>
      <c r="T1138" s="650"/>
      <c r="U1138" s="650"/>
      <c r="V1138" s="704">
        <v>224000</v>
      </c>
      <c r="W1138" s="654">
        <v>24192.14</v>
      </c>
      <c r="X1138" s="650"/>
      <c r="Y1138" s="660"/>
      <c r="Z1138" s="660"/>
      <c r="AA1138" s="660"/>
      <c r="AB1138" s="654">
        <f t="shared" si="572"/>
        <v>1861001.14</v>
      </c>
      <c r="AC1138" s="648"/>
      <c r="AD1138" s="648">
        <v>2025</v>
      </c>
      <c r="AE1138" s="648">
        <v>2025</v>
      </c>
      <c r="AF1138" s="91"/>
      <c r="AG1138" s="91"/>
    </row>
    <row r="1139" spans="1:33" s="595" customFormat="1" ht="24" customHeight="1">
      <c r="A1139" s="585">
        <f t="shared" si="569"/>
        <v>44</v>
      </c>
      <c r="B1139" s="586" t="s">
        <v>1021</v>
      </c>
      <c r="C1139" s="587">
        <f t="shared" si="571"/>
        <v>2951477.1</v>
      </c>
      <c r="D1139" s="580"/>
      <c r="E1139" s="581"/>
      <c r="F1139" s="581"/>
      <c r="G1139" s="578"/>
      <c r="H1139" s="582"/>
      <c r="I1139" s="582"/>
      <c r="J1139" s="581">
        <v>1</v>
      </c>
      <c r="K1139" s="597">
        <v>2771340</v>
      </c>
      <c r="L1139" s="578"/>
      <c r="M1139" s="579"/>
      <c r="N1139" s="579"/>
      <c r="O1139" s="579"/>
      <c r="P1139" s="580"/>
      <c r="Q1139" s="580"/>
      <c r="R1139" s="581"/>
      <c r="S1139" s="582"/>
      <c r="T1139" s="582"/>
      <c r="U1139" s="582"/>
      <c r="V1139" s="583">
        <v>138567</v>
      </c>
      <c r="W1139" s="584">
        <f t="shared" ref="W1139" si="573">ROUND((D1139+F1139+G1139+H1139+I1139+K1139+L1139+M1139+O1139+P1139+Q1139+R1139+S1139)*1.5%,2)</f>
        <v>41570.1</v>
      </c>
      <c r="X1139" s="581"/>
      <c r="Y1139" s="581"/>
      <c r="Z1139" s="581"/>
      <c r="AA1139" s="581"/>
      <c r="AB1139" s="584">
        <f t="shared" si="572"/>
        <v>2951477.1</v>
      </c>
      <c r="AC1139" s="585"/>
      <c r="AD1139" s="585">
        <v>2025</v>
      </c>
      <c r="AE1139" s="585">
        <v>2026</v>
      </c>
      <c r="AF1139" s="594"/>
      <c r="AG1139" s="594"/>
    </row>
    <row r="1140" spans="1:33" s="595" customFormat="1" ht="24" customHeight="1">
      <c r="A1140" s="585">
        <f t="shared" si="569"/>
        <v>45</v>
      </c>
      <c r="B1140" s="20" t="s">
        <v>993</v>
      </c>
      <c r="C1140" s="4">
        <f t="shared" si="571"/>
        <v>13567045.140000001</v>
      </c>
      <c r="D1140" s="9"/>
      <c r="E1140" s="21"/>
      <c r="F1140" s="21"/>
      <c r="G1140" s="12"/>
      <c r="H1140" s="13"/>
      <c r="I1140" s="13"/>
      <c r="J1140" s="18"/>
      <c r="K1140" s="9"/>
      <c r="L1140" s="12"/>
      <c r="M1140" s="22"/>
      <c r="N1140" s="22"/>
      <c r="O1140" s="22"/>
      <c r="P1140" s="9">
        <f>ROUND(3184.3*3855.19,2)</f>
        <v>12276081.52</v>
      </c>
      <c r="Q1140" s="9"/>
      <c r="R1140" s="9"/>
      <c r="S1140" s="9"/>
      <c r="T1140" s="108"/>
      <c r="U1140" s="108"/>
      <c r="V1140" s="3">
        <v>1106822.3999999999</v>
      </c>
      <c r="W1140" s="24">
        <f>ROUND((D1140+F1140+G1140+H1140+I1140+L1140+M1140+O1140+P1140+Q1140+R1140+S1140)*1.5%,2)</f>
        <v>184141.22</v>
      </c>
      <c r="X1140" s="21"/>
      <c r="Y1140" s="21"/>
      <c r="Z1140" s="21"/>
      <c r="AA1140" s="21"/>
      <c r="AB1140" s="24">
        <f t="shared" si="572"/>
        <v>13567045.140000001</v>
      </c>
      <c r="AC1140" s="18"/>
      <c r="AD1140" s="18">
        <v>2025</v>
      </c>
      <c r="AE1140" s="18">
        <v>2025</v>
      </c>
      <c r="AF1140" s="596"/>
      <c r="AG1140" s="594"/>
    </row>
    <row r="1141" spans="1:33" s="595" customFormat="1" ht="24" customHeight="1">
      <c r="A1141" s="585">
        <f t="shared" si="569"/>
        <v>46</v>
      </c>
      <c r="B1141" s="20" t="s">
        <v>514</v>
      </c>
      <c r="C1141" s="4">
        <f t="shared" si="571"/>
        <v>14830966.359999999</v>
      </c>
      <c r="D1141" s="9"/>
      <c r="E1141" s="21"/>
      <c r="F1141" s="21"/>
      <c r="G1141" s="12"/>
      <c r="H1141" s="13"/>
      <c r="I1141" s="13"/>
      <c r="J1141" s="18"/>
      <c r="K1141" s="9"/>
      <c r="L1141" s="12"/>
      <c r="M1141" s="22"/>
      <c r="N1141" s="22"/>
      <c r="O1141" s="22"/>
      <c r="P1141" s="12">
        <f>ROUND(3488.1*3855.19,2)</f>
        <v>13447288.24</v>
      </c>
      <c r="Q1141" s="12"/>
      <c r="R1141" s="9"/>
      <c r="S1141" s="9"/>
      <c r="T1141" s="108"/>
      <c r="U1141" s="108"/>
      <c r="V1141" s="3">
        <v>1181968.8</v>
      </c>
      <c r="W1141" s="24">
        <f t="shared" ref="W1141:W1278" si="574">ROUND((D1141+F1141+G1141+H1141+I1141+L1141+M1141+O1141+P1141+Q1141+R1141+S1141)*1.5%,2)</f>
        <v>201709.32</v>
      </c>
      <c r="X1141" s="21"/>
      <c r="Y1141" s="21"/>
      <c r="Z1141" s="21"/>
      <c r="AA1141" s="21"/>
      <c r="AB1141" s="24">
        <f t="shared" si="572"/>
        <v>14830966.359999999</v>
      </c>
      <c r="AC1141" s="18"/>
      <c r="AD1141" s="18">
        <v>2025</v>
      </c>
      <c r="AE1141" s="18">
        <v>2025</v>
      </c>
      <c r="AF1141" s="596"/>
      <c r="AG1141" s="594"/>
    </row>
    <row r="1142" spans="1:33" s="26" customFormat="1" ht="24" customHeight="1">
      <c r="A1142" s="585">
        <f t="shared" si="569"/>
        <v>47</v>
      </c>
      <c r="B1142" s="665" t="s">
        <v>1149</v>
      </c>
      <c r="C1142" s="649">
        <f t="shared" si="571"/>
        <v>16487278.310000001</v>
      </c>
      <c r="D1142" s="659"/>
      <c r="E1142" s="660"/>
      <c r="F1142" s="660"/>
      <c r="G1142" s="661"/>
      <c r="H1142" s="662"/>
      <c r="I1142" s="662"/>
      <c r="J1142" s="648"/>
      <c r="K1142" s="659"/>
      <c r="L1142" s="661"/>
      <c r="M1142" s="663"/>
      <c r="N1142" s="663"/>
      <c r="O1142" s="663"/>
      <c r="P1142" s="661">
        <v>9280844.1799999997</v>
      </c>
      <c r="Q1142" s="661"/>
      <c r="R1142" s="659">
        <v>6200168.3099999996</v>
      </c>
      <c r="S1142" s="659"/>
      <c r="T1142" s="659"/>
      <c r="U1142" s="659"/>
      <c r="V1142" s="664">
        <f>464042.21+310008.42</f>
        <v>774050.63</v>
      </c>
      <c r="W1142" s="654">
        <f t="shared" si="574"/>
        <v>232215.19</v>
      </c>
      <c r="X1142" s="660"/>
      <c r="Y1142" s="660"/>
      <c r="Z1142" s="654">
        <f>C1142</f>
        <v>16487278.310000001</v>
      </c>
      <c r="AA1142" s="660"/>
      <c r="AB1142" s="654"/>
      <c r="AC1142" s="648"/>
      <c r="AD1142" s="648">
        <v>2025</v>
      </c>
      <c r="AE1142" s="648">
        <v>2025</v>
      </c>
      <c r="AF1142" s="91"/>
      <c r="AG1142" s="91"/>
    </row>
    <row r="1143" spans="1:33" s="595" customFormat="1" ht="24" customHeight="1">
      <c r="A1143" s="585">
        <f t="shared" si="569"/>
        <v>48</v>
      </c>
      <c r="B1143" s="586" t="s">
        <v>1023</v>
      </c>
      <c r="C1143" s="587">
        <f t="shared" si="571"/>
        <v>1861001.14</v>
      </c>
      <c r="D1143" s="580"/>
      <c r="E1143" s="640">
        <v>1</v>
      </c>
      <c r="F1143" s="589">
        <v>1612809</v>
      </c>
      <c r="G1143" s="588"/>
      <c r="H1143" s="589"/>
      <c r="I1143" s="589"/>
      <c r="J1143" s="589"/>
      <c r="K1143" s="589"/>
      <c r="L1143" s="588"/>
      <c r="M1143" s="588"/>
      <c r="N1143" s="588"/>
      <c r="O1143" s="588"/>
      <c r="P1143" s="589"/>
      <c r="Q1143" s="589"/>
      <c r="R1143" s="589"/>
      <c r="S1143" s="589"/>
      <c r="T1143" s="589"/>
      <c r="U1143" s="589"/>
      <c r="V1143" s="590">
        <v>224000</v>
      </c>
      <c r="W1143" s="584">
        <v>24192.14</v>
      </c>
      <c r="X1143" s="589"/>
      <c r="Y1143" s="581"/>
      <c r="Z1143" s="581"/>
      <c r="AA1143" s="581"/>
      <c r="AB1143" s="584">
        <f t="shared" si="572"/>
        <v>1861001.14</v>
      </c>
      <c r="AC1143" s="585"/>
      <c r="AD1143" s="585">
        <v>2025</v>
      </c>
      <c r="AE1143" s="585">
        <v>2026</v>
      </c>
      <c r="AF1143" s="594"/>
      <c r="AG1143" s="594"/>
    </row>
    <row r="1144" spans="1:33" s="26" customFormat="1" ht="24" customHeight="1">
      <c r="A1144" s="585">
        <f t="shared" si="569"/>
        <v>49</v>
      </c>
      <c r="B1144" s="665" t="s">
        <v>1150</v>
      </c>
      <c r="C1144" s="649">
        <f t="shared" si="571"/>
        <v>3849957.96</v>
      </c>
      <c r="D1144" s="659"/>
      <c r="E1144" s="650"/>
      <c r="F1144" s="650"/>
      <c r="G1144" s="651"/>
      <c r="H1144" s="650"/>
      <c r="I1144" s="650"/>
      <c r="J1144" s="650"/>
      <c r="K1144" s="650"/>
      <c r="L1144" s="651"/>
      <c r="M1144" s="651"/>
      <c r="N1144" s="653">
        <v>1</v>
      </c>
      <c r="O1144" s="651">
        <v>3614984</v>
      </c>
      <c r="P1144" s="651"/>
      <c r="Q1144" s="651"/>
      <c r="R1144" s="650"/>
      <c r="S1144" s="650"/>
      <c r="T1144" s="650"/>
      <c r="U1144" s="650"/>
      <c r="V1144" s="704">
        <v>180749.2</v>
      </c>
      <c r="W1144" s="654">
        <v>54224.76</v>
      </c>
      <c r="X1144" s="650"/>
      <c r="Y1144" s="660"/>
      <c r="Z1144" s="660"/>
      <c r="AA1144" s="660"/>
      <c r="AB1144" s="654">
        <f t="shared" si="572"/>
        <v>3849957.96</v>
      </c>
      <c r="AC1144" s="648"/>
      <c r="AD1144" s="648">
        <v>2025</v>
      </c>
      <c r="AE1144" s="648">
        <v>2026</v>
      </c>
      <c r="AF1144" s="91"/>
      <c r="AG1144" s="91"/>
    </row>
    <row r="1145" spans="1:33" s="595" customFormat="1" ht="24" customHeight="1">
      <c r="A1145" s="585">
        <f t="shared" si="569"/>
        <v>50</v>
      </c>
      <c r="B1145" s="20" t="s">
        <v>279</v>
      </c>
      <c r="C1145" s="4">
        <f t="shared" si="571"/>
        <v>2274342.13</v>
      </c>
      <c r="D1145" s="9"/>
      <c r="E1145" s="21"/>
      <c r="F1145" s="21"/>
      <c r="G1145" s="12"/>
      <c r="H1145" s="13"/>
      <c r="I1145" s="13"/>
      <c r="J1145" s="18"/>
      <c r="K1145" s="9"/>
      <c r="L1145" s="12">
        <f>ROUND(2883.3*616.25,2)</f>
        <v>1776833.63</v>
      </c>
      <c r="M1145" s="22"/>
      <c r="N1145" s="22"/>
      <c r="O1145" s="22"/>
      <c r="P1145" s="22"/>
      <c r="Q1145" s="12"/>
      <c r="R1145" s="9"/>
      <c r="S1145" s="9"/>
      <c r="T1145" s="108"/>
      <c r="U1145" s="108"/>
      <c r="V1145" s="3">
        <v>470856</v>
      </c>
      <c r="W1145" s="24">
        <f t="shared" si="574"/>
        <v>26652.5</v>
      </c>
      <c r="X1145" s="21"/>
      <c r="Y1145" s="21"/>
      <c r="Z1145" s="21"/>
      <c r="AA1145" s="21"/>
      <c r="AB1145" s="24">
        <f t="shared" si="572"/>
        <v>2274342.13</v>
      </c>
      <c r="AC1145" s="18"/>
      <c r="AD1145" s="18">
        <v>2025</v>
      </c>
      <c r="AE1145" s="18">
        <v>2025</v>
      </c>
      <c r="AF1145" s="596"/>
      <c r="AG1145" s="594"/>
    </row>
    <row r="1146" spans="1:33" s="26" customFormat="1" ht="24" customHeight="1">
      <c r="A1146" s="585">
        <f t="shared" si="569"/>
        <v>51</v>
      </c>
      <c r="B1146" s="586" t="s">
        <v>280</v>
      </c>
      <c r="C1146" s="587">
        <f t="shared" si="571"/>
        <v>14681182.710000001</v>
      </c>
      <c r="D1146" s="580">
        <f>ROUND(2100.1*589.88,2)</f>
        <v>1238806.99</v>
      </c>
      <c r="E1146" s="581"/>
      <c r="F1146" s="581"/>
      <c r="G1146" s="578">
        <f>ROUND(2100.1*596.38,2)</f>
        <v>1252457.6399999999</v>
      </c>
      <c r="H1146" s="582">
        <f>ROUND(2100.1*1074.75,2)</f>
        <v>2257082.48</v>
      </c>
      <c r="I1146" s="582">
        <f>ROUND(2100.1*871.5,2)</f>
        <v>1830237.15</v>
      </c>
      <c r="J1146" s="585"/>
      <c r="K1146" s="577"/>
      <c r="L1146" s="578">
        <f>1294186.63+5742933.46</f>
        <v>7037120.0899999999</v>
      </c>
      <c r="M1146" s="579"/>
      <c r="N1146" s="579"/>
      <c r="O1146" s="579"/>
      <c r="P1146" s="579"/>
      <c r="Q1146" s="578"/>
      <c r="R1146" s="580"/>
      <c r="S1146" s="580"/>
      <c r="T1146" s="580"/>
      <c r="U1146" s="580"/>
      <c r="V1146" s="583">
        <v>947386.8</v>
      </c>
      <c r="W1146" s="584">
        <v>118091.56</v>
      </c>
      <c r="X1146" s="581"/>
      <c r="Y1146" s="581"/>
      <c r="Z1146" s="581"/>
      <c r="AA1146" s="581"/>
      <c r="AB1146" s="584">
        <f t="shared" si="572"/>
        <v>14681182.710000001</v>
      </c>
      <c r="AC1146" s="585"/>
      <c r="AD1146" s="585">
        <v>2025</v>
      </c>
      <c r="AE1146" s="585">
        <v>2025</v>
      </c>
      <c r="AF1146" s="91"/>
      <c r="AG1146" s="91"/>
    </row>
    <row r="1147" spans="1:33" s="595" customFormat="1" ht="24" customHeight="1">
      <c r="A1147" s="585">
        <f t="shared" si="569"/>
        <v>52</v>
      </c>
      <c r="B1147" s="586" t="s">
        <v>75</v>
      </c>
      <c r="C1147" s="587">
        <f t="shared" si="571"/>
        <v>2951477.1</v>
      </c>
      <c r="D1147" s="580"/>
      <c r="E1147" s="581"/>
      <c r="F1147" s="581"/>
      <c r="G1147" s="578"/>
      <c r="H1147" s="582"/>
      <c r="I1147" s="582"/>
      <c r="J1147" s="581">
        <v>1</v>
      </c>
      <c r="K1147" s="597">
        <v>2771340</v>
      </c>
      <c r="L1147" s="578"/>
      <c r="M1147" s="579"/>
      <c r="N1147" s="579"/>
      <c r="O1147" s="579"/>
      <c r="P1147" s="580"/>
      <c r="Q1147" s="580"/>
      <c r="R1147" s="581"/>
      <c r="S1147" s="582"/>
      <c r="T1147" s="582"/>
      <c r="U1147" s="582"/>
      <c r="V1147" s="583">
        <v>138567</v>
      </c>
      <c r="W1147" s="584">
        <f t="shared" ref="W1147" si="575">ROUND((D1147+F1147+G1147+H1147+I1147+K1147+L1147+M1147+O1147+P1147+Q1147+R1147+S1147)*1.5%,2)</f>
        <v>41570.1</v>
      </c>
      <c r="X1147" s="581"/>
      <c r="Y1147" s="581"/>
      <c r="Z1147" s="581"/>
      <c r="AA1147" s="581"/>
      <c r="AB1147" s="584">
        <f t="shared" si="572"/>
        <v>2951477.1</v>
      </c>
      <c r="AC1147" s="585"/>
      <c r="AD1147" s="585">
        <v>2025</v>
      </c>
      <c r="AE1147" s="585">
        <v>2026</v>
      </c>
      <c r="AF1147" s="594"/>
      <c r="AG1147" s="594"/>
    </row>
    <row r="1148" spans="1:33" s="595" customFormat="1" ht="24" customHeight="1">
      <c r="A1148" s="585">
        <f t="shared" si="569"/>
        <v>53</v>
      </c>
      <c r="B1148" s="586" t="s">
        <v>76</v>
      </c>
      <c r="C1148" s="587">
        <f t="shared" si="571"/>
        <v>10856907.140000001</v>
      </c>
      <c r="D1148" s="580"/>
      <c r="E1148" s="581"/>
      <c r="F1148" s="581"/>
      <c r="G1148" s="578"/>
      <c r="H1148" s="582"/>
      <c r="I1148" s="582"/>
      <c r="J1148" s="585"/>
      <c r="K1148" s="577"/>
      <c r="L1148" s="578"/>
      <c r="M1148" s="579"/>
      <c r="N1148" s="579">
        <v>3</v>
      </c>
      <c r="O1148" s="598">
        <f>3398093*N1148</f>
        <v>10194279</v>
      </c>
      <c r="P1148" s="578"/>
      <c r="Q1148" s="578"/>
      <c r="R1148" s="580"/>
      <c r="S1148" s="580"/>
      <c r="T1148" s="580"/>
      <c r="U1148" s="580"/>
      <c r="V1148" s="583">
        <v>509713.95</v>
      </c>
      <c r="W1148" s="584">
        <f t="shared" ref="W1148" si="576">ROUND((D1148+F1148+G1148+H1148+I1148+L1148+M1148+O1148+P1148+Q1148+R1148+S1148)*1.5%,2)</f>
        <v>152914.19</v>
      </c>
      <c r="X1148" s="581"/>
      <c r="Y1148" s="581"/>
      <c r="Z1148" s="581"/>
      <c r="AA1148" s="581"/>
      <c r="AB1148" s="584">
        <f t="shared" si="572"/>
        <v>10856907.140000001</v>
      </c>
      <c r="AC1148" s="585"/>
      <c r="AD1148" s="585">
        <v>2025</v>
      </c>
      <c r="AE1148" s="585">
        <v>2026</v>
      </c>
      <c r="AF1148" s="594"/>
      <c r="AG1148" s="594"/>
    </row>
    <row r="1149" spans="1:33" s="595" customFormat="1" ht="24" customHeight="1">
      <c r="A1149" s="585">
        <f t="shared" si="569"/>
        <v>54</v>
      </c>
      <c r="B1149" s="586" t="s">
        <v>1024</v>
      </c>
      <c r="C1149" s="587">
        <f t="shared" si="571"/>
        <v>3618969.05</v>
      </c>
      <c r="D1149" s="580"/>
      <c r="E1149" s="581"/>
      <c r="F1149" s="581"/>
      <c r="G1149" s="578"/>
      <c r="H1149" s="582"/>
      <c r="I1149" s="582"/>
      <c r="J1149" s="585"/>
      <c r="K1149" s="577"/>
      <c r="L1149" s="578"/>
      <c r="M1149" s="579"/>
      <c r="N1149" s="579">
        <v>1</v>
      </c>
      <c r="O1149" s="598">
        <v>3398093</v>
      </c>
      <c r="P1149" s="578"/>
      <c r="Q1149" s="578"/>
      <c r="R1149" s="580"/>
      <c r="S1149" s="580"/>
      <c r="T1149" s="580"/>
      <c r="U1149" s="580"/>
      <c r="V1149" s="583">
        <v>169904.65</v>
      </c>
      <c r="W1149" s="584">
        <v>50971.4</v>
      </c>
      <c r="X1149" s="581"/>
      <c r="Y1149" s="581"/>
      <c r="Z1149" s="581"/>
      <c r="AA1149" s="581"/>
      <c r="AB1149" s="584">
        <f t="shared" si="572"/>
        <v>3618969.05</v>
      </c>
      <c r="AC1149" s="585"/>
      <c r="AD1149" s="585">
        <v>2025</v>
      </c>
      <c r="AE1149" s="585">
        <v>2026</v>
      </c>
      <c r="AF1149" s="594"/>
      <c r="AG1149" s="594"/>
    </row>
    <row r="1150" spans="1:33" s="26" customFormat="1" ht="24" customHeight="1">
      <c r="A1150" s="585">
        <f t="shared" si="569"/>
        <v>55</v>
      </c>
      <c r="B1150" s="20" t="s">
        <v>416</v>
      </c>
      <c r="C1150" s="4">
        <f t="shared" si="571"/>
        <v>1861001.14</v>
      </c>
      <c r="D1150" s="9"/>
      <c r="E1150" s="401">
        <v>1</v>
      </c>
      <c r="F1150" s="69">
        <v>1612809</v>
      </c>
      <c r="G1150" s="710"/>
      <c r="H1150" s="69"/>
      <c r="I1150" s="69"/>
      <c r="J1150" s="69"/>
      <c r="K1150" s="69"/>
      <c r="L1150" s="710"/>
      <c r="M1150" s="710"/>
      <c r="N1150" s="710"/>
      <c r="O1150" s="710"/>
      <c r="P1150" s="69"/>
      <c r="Q1150" s="69"/>
      <c r="R1150" s="69"/>
      <c r="S1150" s="69"/>
      <c r="T1150" s="69"/>
      <c r="U1150" s="69"/>
      <c r="V1150" s="129">
        <v>224000</v>
      </c>
      <c r="W1150" s="24">
        <v>24192.14</v>
      </c>
      <c r="X1150" s="69"/>
      <c r="Y1150" s="21"/>
      <c r="Z1150" s="21"/>
      <c r="AA1150" s="21"/>
      <c r="AB1150" s="24">
        <f t="shared" si="572"/>
        <v>1861001.14</v>
      </c>
      <c r="AC1150" s="18"/>
      <c r="AD1150" s="18">
        <v>2025</v>
      </c>
      <c r="AE1150" s="18">
        <v>2026</v>
      </c>
      <c r="AF1150" s="91"/>
      <c r="AG1150" s="91"/>
    </row>
    <row r="1151" spans="1:33" s="26" customFormat="1" ht="24" customHeight="1">
      <c r="A1151" s="585">
        <f t="shared" si="569"/>
        <v>56</v>
      </c>
      <c r="B1151" s="20" t="s">
        <v>417</v>
      </c>
      <c r="C1151" s="4">
        <f t="shared" si="571"/>
        <v>1861001.14</v>
      </c>
      <c r="D1151" s="9"/>
      <c r="E1151" s="401">
        <v>1</v>
      </c>
      <c r="F1151" s="69">
        <v>1612809</v>
      </c>
      <c r="G1151" s="710"/>
      <c r="H1151" s="69"/>
      <c r="I1151" s="69"/>
      <c r="J1151" s="69"/>
      <c r="K1151" s="69"/>
      <c r="L1151" s="710"/>
      <c r="M1151" s="710"/>
      <c r="N1151" s="710"/>
      <c r="O1151" s="710"/>
      <c r="P1151" s="69"/>
      <c r="Q1151" s="69"/>
      <c r="R1151" s="69"/>
      <c r="S1151" s="69"/>
      <c r="T1151" s="69"/>
      <c r="U1151" s="69"/>
      <c r="V1151" s="129">
        <v>224000</v>
      </c>
      <c r="W1151" s="24">
        <v>24192.14</v>
      </c>
      <c r="X1151" s="69"/>
      <c r="Y1151" s="21"/>
      <c r="Z1151" s="21"/>
      <c r="AA1151" s="21"/>
      <c r="AB1151" s="24">
        <f t="shared" si="572"/>
        <v>1861001.14</v>
      </c>
      <c r="AC1151" s="18"/>
      <c r="AD1151" s="18">
        <v>2025</v>
      </c>
      <c r="AE1151" s="18">
        <v>2026</v>
      </c>
      <c r="AF1151" s="91"/>
      <c r="AG1151" s="91"/>
    </row>
    <row r="1152" spans="1:33" s="26" customFormat="1" ht="24" customHeight="1">
      <c r="A1152" s="585">
        <f t="shared" si="569"/>
        <v>57</v>
      </c>
      <c r="B1152" s="20" t="s">
        <v>1123</v>
      </c>
      <c r="C1152" s="4">
        <f t="shared" si="571"/>
        <v>3542900</v>
      </c>
      <c r="D1152" s="9"/>
      <c r="E1152" s="21"/>
      <c r="F1152" s="21"/>
      <c r="G1152" s="12"/>
      <c r="H1152" s="13"/>
      <c r="I1152" s="13"/>
      <c r="J1152" s="18"/>
      <c r="K1152" s="645"/>
      <c r="L1152" s="12"/>
      <c r="M1152" s="22"/>
      <c r="N1152" s="551">
        <v>1</v>
      </c>
      <c r="O1152" s="46">
        <f>3333000*N1152</f>
        <v>3333000</v>
      </c>
      <c r="P1152" s="22"/>
      <c r="Q1152" s="12"/>
      <c r="R1152" s="9"/>
      <c r="S1152" s="9"/>
      <c r="T1152" s="9"/>
      <c r="U1152" s="9"/>
      <c r="V1152" s="3">
        <v>160000</v>
      </c>
      <c r="W1152" s="24">
        <v>49900</v>
      </c>
      <c r="X1152" s="21"/>
      <c r="Y1152" s="21"/>
      <c r="Z1152" s="24">
        <f>C1152</f>
        <v>3542900</v>
      </c>
      <c r="AA1152" s="21"/>
      <c r="AB1152" s="24"/>
      <c r="AC1152" s="18"/>
      <c r="AD1152" s="18">
        <v>2025</v>
      </c>
      <c r="AE1152" s="18">
        <v>2025</v>
      </c>
      <c r="AF1152" s="91"/>
      <c r="AG1152" s="91"/>
    </row>
    <row r="1153" spans="1:33" s="595" customFormat="1" ht="24" customHeight="1">
      <c r="A1153" s="585">
        <f t="shared" si="569"/>
        <v>58</v>
      </c>
      <c r="B1153" s="586" t="s">
        <v>1025</v>
      </c>
      <c r="C1153" s="587">
        <f t="shared" si="571"/>
        <v>2951477.1</v>
      </c>
      <c r="D1153" s="580"/>
      <c r="E1153" s="581"/>
      <c r="F1153" s="581"/>
      <c r="G1153" s="578"/>
      <c r="H1153" s="582"/>
      <c r="I1153" s="582"/>
      <c r="J1153" s="581">
        <v>1</v>
      </c>
      <c r="K1153" s="597">
        <v>2771340</v>
      </c>
      <c r="L1153" s="578"/>
      <c r="M1153" s="579"/>
      <c r="N1153" s="579"/>
      <c r="O1153" s="579"/>
      <c r="P1153" s="580"/>
      <c r="Q1153" s="580"/>
      <c r="R1153" s="581"/>
      <c r="S1153" s="582"/>
      <c r="T1153" s="582"/>
      <c r="U1153" s="582"/>
      <c r="V1153" s="583">
        <v>138567</v>
      </c>
      <c r="W1153" s="584">
        <f t="shared" ref="W1153" si="577">ROUND((D1153+F1153+G1153+H1153+I1153+K1153+L1153+M1153+O1153+P1153+Q1153+R1153+S1153)*1.5%,2)</f>
        <v>41570.1</v>
      </c>
      <c r="X1153" s="581"/>
      <c r="Y1153" s="581"/>
      <c r="Z1153" s="581"/>
      <c r="AA1153" s="581"/>
      <c r="AB1153" s="584">
        <f t="shared" si="572"/>
        <v>2951477.1</v>
      </c>
      <c r="AC1153" s="585"/>
      <c r="AD1153" s="585">
        <v>2025</v>
      </c>
      <c r="AE1153" s="585">
        <v>2026</v>
      </c>
      <c r="AF1153" s="594"/>
      <c r="AG1153" s="594"/>
    </row>
    <row r="1154" spans="1:33" s="26" customFormat="1" ht="24" customHeight="1">
      <c r="A1154" s="585">
        <f t="shared" si="569"/>
        <v>59</v>
      </c>
      <c r="B1154" s="20" t="s">
        <v>1151</v>
      </c>
      <c r="C1154" s="4">
        <f t="shared" si="571"/>
        <v>37052954</v>
      </c>
      <c r="D1154" s="9"/>
      <c r="E1154" s="21"/>
      <c r="F1154" s="21"/>
      <c r="G1154" s="12"/>
      <c r="H1154" s="13"/>
      <c r="I1154" s="13"/>
      <c r="J1154" s="21"/>
      <c r="K1154" s="416"/>
      <c r="L1154" s="12"/>
      <c r="M1154" s="22"/>
      <c r="N1154" s="22"/>
      <c r="O1154" s="22"/>
      <c r="P1154" s="12">
        <v>8346846.2999999998</v>
      </c>
      <c r="Q1154" s="12"/>
      <c r="R1154" s="24">
        <v>26444659.800000001</v>
      </c>
      <c r="S1154" s="13"/>
      <c r="T1154" s="13"/>
      <c r="U1154" s="13"/>
      <c r="V1154" s="3">
        <f>417342.32+1322232.99</f>
        <v>1739575.31</v>
      </c>
      <c r="W1154" s="24">
        <f t="shared" ref="W1154:W1155" si="578">ROUND((D1154+F1154+G1154+H1154+I1154+L1154+M1154+O1154+P1154+Q1154+R1154+S1154)*1.5%,2)</f>
        <v>521872.59</v>
      </c>
      <c r="X1154" s="21"/>
      <c r="Y1154" s="21"/>
      <c r="Z1154" s="24">
        <f>C1154</f>
        <v>37052954</v>
      </c>
      <c r="AA1154" s="21"/>
      <c r="AB1154" s="24"/>
      <c r="AC1154" s="18"/>
      <c r="AD1154" s="18">
        <v>2025</v>
      </c>
      <c r="AE1154" s="18">
        <v>2025</v>
      </c>
      <c r="AF1154" s="91"/>
      <c r="AG1154" s="91"/>
    </row>
    <row r="1155" spans="1:33" s="26" customFormat="1" ht="24" customHeight="1">
      <c r="A1155" s="585">
        <f t="shared" si="569"/>
        <v>60</v>
      </c>
      <c r="B1155" s="20" t="s">
        <v>1152</v>
      </c>
      <c r="C1155" s="4">
        <f t="shared" si="571"/>
        <v>36558914.619999997</v>
      </c>
      <c r="D1155" s="9"/>
      <c r="E1155" s="21"/>
      <c r="F1155" s="21"/>
      <c r="G1155" s="12"/>
      <c r="H1155" s="13"/>
      <c r="I1155" s="13"/>
      <c r="J1155" s="21"/>
      <c r="K1155" s="416"/>
      <c r="L1155" s="12"/>
      <c r="M1155" s="22"/>
      <c r="N1155" s="22"/>
      <c r="O1155" s="22"/>
      <c r="P1155" s="12">
        <v>8235555.0199999996</v>
      </c>
      <c r="Q1155" s="12"/>
      <c r="R1155" s="24">
        <v>26092064.34</v>
      </c>
      <c r="S1155" s="13"/>
      <c r="T1155" s="13"/>
      <c r="U1155" s="13"/>
      <c r="V1155" s="3">
        <f>411777.75+1304603.22</f>
        <v>1716380.97</v>
      </c>
      <c r="W1155" s="24">
        <f t="shared" si="578"/>
        <v>514914.29</v>
      </c>
      <c r="X1155" s="21"/>
      <c r="Y1155" s="21"/>
      <c r="Z1155" s="24">
        <f>C1155</f>
        <v>36558914.619999997</v>
      </c>
      <c r="AA1155" s="21"/>
      <c r="AB1155" s="24"/>
      <c r="AC1155" s="18"/>
      <c r="AD1155" s="18">
        <v>2025</v>
      </c>
      <c r="AE1155" s="18">
        <v>2025</v>
      </c>
      <c r="AF1155" s="91"/>
      <c r="AG1155" s="91"/>
    </row>
    <row r="1156" spans="1:33" s="26" customFormat="1" ht="24" customHeight="1">
      <c r="A1156" s="585">
        <f t="shared" si="569"/>
        <v>61</v>
      </c>
      <c r="B1156" s="20" t="s">
        <v>281</v>
      </c>
      <c r="C1156" s="4">
        <f t="shared" si="571"/>
        <v>86581347.540000007</v>
      </c>
      <c r="D1156" s="9"/>
      <c r="E1156" s="21"/>
      <c r="F1156" s="21"/>
      <c r="G1156" s="12"/>
      <c r="H1156" s="13"/>
      <c r="I1156" s="13">
        <f>ROUND(5847*3201.73,2)</f>
        <v>18720515.309999999</v>
      </c>
      <c r="J1156" s="21">
        <v>1</v>
      </c>
      <c r="K1156" s="416">
        <v>2771340</v>
      </c>
      <c r="L1156" s="12"/>
      <c r="M1156" s="22"/>
      <c r="N1156" s="22"/>
      <c r="O1156" s="22"/>
      <c r="P1156" s="46">
        <v>25680316.350000001</v>
      </c>
      <c r="Q1156" s="12"/>
      <c r="R1156" s="9">
        <v>34378605.899999999</v>
      </c>
      <c r="S1156" s="9"/>
      <c r="T1156" s="9"/>
      <c r="U1156" s="9"/>
      <c r="V1156" s="3">
        <f>665795.2+138567+1284015.82+1718930.3</f>
        <v>3807308.32</v>
      </c>
      <c r="W1156" s="24">
        <f>ROUND((D1156+F1156+G1156+H1156+I1156+K1156+L1156+M1156+O1156+P1156+Q1156+R1156+S1156)*1.5%,2)</f>
        <v>1223261.6599999999</v>
      </c>
      <c r="X1156" s="21"/>
      <c r="Y1156" s="21"/>
      <c r="Z1156" s="24">
        <f>C1156-AB1156</f>
        <v>63962752.200000003</v>
      </c>
      <c r="AA1156" s="21"/>
      <c r="AB1156" s="24">
        <v>22618595.34</v>
      </c>
      <c r="AC1156" s="18"/>
      <c r="AD1156" s="18">
        <v>2025</v>
      </c>
      <c r="AE1156" s="18">
        <v>2026</v>
      </c>
      <c r="AF1156" s="91"/>
      <c r="AG1156" s="91"/>
    </row>
    <row r="1157" spans="1:33" s="595" customFormat="1" ht="24" customHeight="1">
      <c r="A1157" s="585">
        <f t="shared" si="569"/>
        <v>62</v>
      </c>
      <c r="B1157" s="586" t="s">
        <v>1026</v>
      </c>
      <c r="C1157" s="587">
        <f t="shared" si="571"/>
        <v>7699915.9199999999</v>
      </c>
      <c r="D1157" s="580"/>
      <c r="E1157" s="581"/>
      <c r="F1157" s="581"/>
      <c r="G1157" s="578"/>
      <c r="H1157" s="582"/>
      <c r="I1157" s="582"/>
      <c r="J1157" s="585"/>
      <c r="K1157" s="577"/>
      <c r="L1157" s="578"/>
      <c r="M1157" s="579"/>
      <c r="N1157" s="579">
        <v>2</v>
      </c>
      <c r="O1157" s="598">
        <f>3614984*N1157</f>
        <v>7229968</v>
      </c>
      <c r="P1157" s="579"/>
      <c r="Q1157" s="578"/>
      <c r="R1157" s="580"/>
      <c r="S1157" s="580"/>
      <c r="T1157" s="580"/>
      <c r="U1157" s="580"/>
      <c r="V1157" s="583">
        <v>361498.4</v>
      </c>
      <c r="W1157" s="584">
        <v>108449.52</v>
      </c>
      <c r="X1157" s="581"/>
      <c r="Y1157" s="581"/>
      <c r="Z1157" s="581"/>
      <c r="AA1157" s="581"/>
      <c r="AB1157" s="584">
        <f t="shared" si="572"/>
        <v>7699915.9199999999</v>
      </c>
      <c r="AC1157" s="585"/>
      <c r="AD1157" s="585">
        <v>2025</v>
      </c>
      <c r="AE1157" s="585">
        <v>2026</v>
      </c>
      <c r="AF1157" s="594"/>
      <c r="AG1157" s="594"/>
    </row>
    <row r="1158" spans="1:33" s="595" customFormat="1" ht="24" customHeight="1">
      <c r="A1158" s="585">
        <f t="shared" si="569"/>
        <v>63</v>
      </c>
      <c r="B1158" s="586" t="s">
        <v>1027</v>
      </c>
      <c r="C1158" s="587">
        <f t="shared" si="571"/>
        <v>7488730.7300000004</v>
      </c>
      <c r="D1158" s="580"/>
      <c r="E1158" s="581"/>
      <c r="F1158" s="581"/>
      <c r="G1158" s="578"/>
      <c r="H1158" s="582"/>
      <c r="I1158" s="582"/>
      <c r="J1158" s="585"/>
      <c r="K1158" s="577"/>
      <c r="L1158" s="578"/>
      <c r="M1158" s="579"/>
      <c r="N1158" s="579"/>
      <c r="O1158" s="579"/>
      <c r="P1158" s="598">
        <v>7031672.0499999998</v>
      </c>
      <c r="Q1158" s="578"/>
      <c r="R1158" s="580"/>
      <c r="S1158" s="580"/>
      <c r="T1158" s="580"/>
      <c r="U1158" s="580"/>
      <c r="V1158" s="583">
        <v>351583.6</v>
      </c>
      <c r="W1158" s="584">
        <v>105475.08</v>
      </c>
      <c r="X1158" s="581"/>
      <c r="Y1158" s="581"/>
      <c r="Z1158" s="581"/>
      <c r="AA1158" s="581"/>
      <c r="AB1158" s="584">
        <f t="shared" si="572"/>
        <v>7488730.7300000004</v>
      </c>
      <c r="AC1158" s="585"/>
      <c r="AD1158" s="585">
        <v>2025</v>
      </c>
      <c r="AE1158" s="585">
        <v>2026</v>
      </c>
      <c r="AF1158" s="594"/>
      <c r="AG1158" s="594"/>
    </row>
    <row r="1159" spans="1:33" s="595" customFormat="1" ht="24" customHeight="1">
      <c r="A1159" s="585">
        <f t="shared" si="569"/>
        <v>64</v>
      </c>
      <c r="B1159" s="586" t="s">
        <v>604</v>
      </c>
      <c r="C1159" s="587">
        <f t="shared" si="571"/>
        <v>1524636.66</v>
      </c>
      <c r="D1159" s="581"/>
      <c r="E1159" s="581"/>
      <c r="F1159" s="581"/>
      <c r="G1159" s="578">
        <v>587859.96</v>
      </c>
      <c r="H1159" s="580">
        <v>843723.75</v>
      </c>
      <c r="I1159" s="582"/>
      <c r="J1159" s="585"/>
      <c r="K1159" s="577"/>
      <c r="L1159" s="578"/>
      <c r="M1159" s="579"/>
      <c r="N1159" s="579"/>
      <c r="O1159" s="579"/>
      <c r="P1159" s="579"/>
      <c r="Q1159" s="578"/>
      <c r="R1159" s="580"/>
      <c r="S1159" s="580"/>
      <c r="T1159" s="580"/>
      <c r="U1159" s="580"/>
      <c r="V1159" s="583">
        <v>71579.19</v>
      </c>
      <c r="W1159" s="584">
        <f t="shared" ref="W1159" si="579">ROUND((D1159+F1159+G1159+H1159+I1159+L1159+M1159+O1159+P1159+Q1159+R1159+S1159)*1.5%,2)</f>
        <v>21473.759999999998</v>
      </c>
      <c r="X1159" s="581"/>
      <c r="Y1159" s="581"/>
      <c r="Z1159" s="581"/>
      <c r="AA1159" s="581"/>
      <c r="AB1159" s="584">
        <f t="shared" si="572"/>
        <v>1524636.66</v>
      </c>
      <c r="AC1159" s="585"/>
      <c r="AD1159" s="585">
        <v>2025</v>
      </c>
      <c r="AE1159" s="585">
        <v>2026</v>
      </c>
      <c r="AF1159" s="594"/>
      <c r="AG1159" s="594"/>
    </row>
    <row r="1160" spans="1:33" s="26" customFormat="1" ht="24" customHeight="1">
      <c r="A1160" s="585">
        <f t="shared" si="569"/>
        <v>65</v>
      </c>
      <c r="B1160" s="20" t="s">
        <v>1124</v>
      </c>
      <c r="C1160" s="4">
        <f t="shared" si="571"/>
        <v>3542900</v>
      </c>
      <c r="D1160" s="9"/>
      <c r="E1160" s="21"/>
      <c r="F1160" s="21"/>
      <c r="G1160" s="12"/>
      <c r="H1160" s="13"/>
      <c r="I1160" s="13"/>
      <c r="J1160" s="18"/>
      <c r="K1160" s="645"/>
      <c r="L1160" s="12"/>
      <c r="M1160" s="22"/>
      <c r="N1160" s="551">
        <v>1</v>
      </c>
      <c r="O1160" s="46">
        <f>3333000*N1160</f>
        <v>3333000</v>
      </c>
      <c r="P1160" s="22"/>
      <c r="Q1160" s="12"/>
      <c r="R1160" s="9"/>
      <c r="S1160" s="9"/>
      <c r="T1160" s="9"/>
      <c r="U1160" s="9"/>
      <c r="V1160" s="3">
        <v>160000</v>
      </c>
      <c r="W1160" s="24">
        <v>49900</v>
      </c>
      <c r="X1160" s="21"/>
      <c r="Y1160" s="21"/>
      <c r="Z1160" s="24">
        <f>C1160</f>
        <v>3542900</v>
      </c>
      <c r="AA1160" s="21"/>
      <c r="AB1160" s="24"/>
      <c r="AC1160" s="18"/>
      <c r="AD1160" s="18">
        <v>2025</v>
      </c>
      <c r="AE1160" s="18">
        <v>2025</v>
      </c>
      <c r="AF1160" s="91"/>
      <c r="AG1160" s="91"/>
    </row>
    <row r="1161" spans="1:33" s="26" customFormat="1" ht="24" customHeight="1">
      <c r="A1161" s="585">
        <f t="shared" si="569"/>
        <v>66</v>
      </c>
      <c r="B1161" s="20" t="s">
        <v>1125</v>
      </c>
      <c r="C1161" s="4">
        <f t="shared" si="571"/>
        <v>7668000</v>
      </c>
      <c r="D1161" s="9"/>
      <c r="E1161" s="21"/>
      <c r="F1161" s="21"/>
      <c r="G1161" s="12"/>
      <c r="H1161" s="13"/>
      <c r="I1161" s="13"/>
      <c r="J1161" s="18"/>
      <c r="K1161" s="645"/>
      <c r="L1161" s="12"/>
      <c r="M1161" s="22"/>
      <c r="N1161" s="551">
        <v>2</v>
      </c>
      <c r="O1161" s="46">
        <f>3600000*N1161</f>
        <v>7200000</v>
      </c>
      <c r="P1161" s="22"/>
      <c r="Q1161" s="12"/>
      <c r="R1161" s="9"/>
      <c r="S1161" s="9"/>
      <c r="T1161" s="9"/>
      <c r="U1161" s="9"/>
      <c r="V1161" s="3">
        <v>360000</v>
      </c>
      <c r="W1161" s="24">
        <v>108000</v>
      </c>
      <c r="X1161" s="21"/>
      <c r="Y1161" s="21"/>
      <c r="Z1161" s="24">
        <f>C1161</f>
        <v>7668000</v>
      </c>
      <c r="AA1161" s="21"/>
      <c r="AB1161" s="24"/>
      <c r="AC1161" s="18"/>
      <c r="AD1161" s="18">
        <v>2025</v>
      </c>
      <c r="AE1161" s="18">
        <v>2025</v>
      </c>
      <c r="AF1161" s="91"/>
      <c r="AG1161" s="91"/>
    </row>
    <row r="1162" spans="1:33" s="26" customFormat="1" ht="24" customHeight="1">
      <c r="A1162" s="585">
        <f t="shared" si="569"/>
        <v>67</v>
      </c>
      <c r="B1162" s="20" t="s">
        <v>1126</v>
      </c>
      <c r="C1162" s="4">
        <f t="shared" si="571"/>
        <v>14171600</v>
      </c>
      <c r="D1162" s="9"/>
      <c r="E1162" s="21"/>
      <c r="F1162" s="21"/>
      <c r="G1162" s="12"/>
      <c r="H1162" s="13"/>
      <c r="I1162" s="13"/>
      <c r="J1162" s="18"/>
      <c r="K1162" s="645"/>
      <c r="L1162" s="12"/>
      <c r="M1162" s="22"/>
      <c r="N1162" s="551">
        <v>4</v>
      </c>
      <c r="O1162" s="46">
        <f>3333000*N1162</f>
        <v>13332000</v>
      </c>
      <c r="P1162" s="22"/>
      <c r="Q1162" s="12"/>
      <c r="R1162" s="9"/>
      <c r="S1162" s="9"/>
      <c r="T1162" s="9"/>
      <c r="U1162" s="9"/>
      <c r="V1162" s="3">
        <v>640000</v>
      </c>
      <c r="W1162" s="24">
        <v>199600</v>
      </c>
      <c r="X1162" s="21"/>
      <c r="Y1162" s="21"/>
      <c r="Z1162" s="24">
        <f>C1162</f>
        <v>14171600</v>
      </c>
      <c r="AA1162" s="21"/>
      <c r="AB1162" s="24"/>
      <c r="AC1162" s="18"/>
      <c r="AD1162" s="18">
        <v>2025</v>
      </c>
      <c r="AE1162" s="18">
        <v>2025</v>
      </c>
      <c r="AF1162" s="91"/>
      <c r="AG1162" s="91"/>
    </row>
    <row r="1163" spans="1:33" s="26" customFormat="1" ht="24" customHeight="1">
      <c r="A1163" s="585">
        <f t="shared" si="569"/>
        <v>68</v>
      </c>
      <c r="B1163" s="20" t="s">
        <v>1127</v>
      </c>
      <c r="C1163" s="4">
        <f t="shared" si="571"/>
        <v>3834000</v>
      </c>
      <c r="D1163" s="9"/>
      <c r="E1163" s="21"/>
      <c r="F1163" s="21"/>
      <c r="G1163" s="12"/>
      <c r="H1163" s="13"/>
      <c r="I1163" s="13"/>
      <c r="J1163" s="18"/>
      <c r="K1163" s="645"/>
      <c r="L1163" s="12"/>
      <c r="M1163" s="22"/>
      <c r="N1163" s="551">
        <v>1</v>
      </c>
      <c r="O1163" s="46">
        <f>3600000*N1163</f>
        <v>3600000</v>
      </c>
      <c r="P1163" s="22"/>
      <c r="Q1163" s="12"/>
      <c r="R1163" s="9"/>
      <c r="S1163" s="9"/>
      <c r="T1163" s="9"/>
      <c r="U1163" s="9"/>
      <c r="V1163" s="3">
        <v>180000</v>
      </c>
      <c r="W1163" s="24">
        <v>54000</v>
      </c>
      <c r="X1163" s="21"/>
      <c r="Y1163" s="21"/>
      <c r="Z1163" s="24">
        <f>C1163</f>
        <v>3834000</v>
      </c>
      <c r="AA1163" s="21"/>
      <c r="AB1163" s="24"/>
      <c r="AC1163" s="18"/>
      <c r="AD1163" s="18">
        <v>2025</v>
      </c>
      <c r="AE1163" s="18">
        <v>2025</v>
      </c>
      <c r="AF1163" s="91"/>
      <c r="AG1163" s="91"/>
    </row>
    <row r="1164" spans="1:33" s="595" customFormat="1" ht="24" customHeight="1">
      <c r="A1164" s="585">
        <f t="shared" si="569"/>
        <v>69</v>
      </c>
      <c r="B1164" s="586" t="s">
        <v>1056</v>
      </c>
      <c r="C1164" s="587">
        <f t="shared" si="571"/>
        <v>3849957.96</v>
      </c>
      <c r="D1164" s="580"/>
      <c r="E1164" s="581"/>
      <c r="F1164" s="581"/>
      <c r="G1164" s="578"/>
      <c r="H1164" s="582"/>
      <c r="I1164" s="582"/>
      <c r="J1164" s="585"/>
      <c r="K1164" s="577"/>
      <c r="L1164" s="578"/>
      <c r="M1164" s="579"/>
      <c r="N1164" s="641">
        <v>1</v>
      </c>
      <c r="O1164" s="598">
        <f t="shared" ref="O1164:O1172" si="580">3614984*N1164</f>
        <v>3614984</v>
      </c>
      <c r="P1164" s="579"/>
      <c r="Q1164" s="578"/>
      <c r="R1164" s="580"/>
      <c r="S1164" s="580"/>
      <c r="T1164" s="580"/>
      <c r="U1164" s="580"/>
      <c r="V1164" s="583">
        <v>180749.2</v>
      </c>
      <c r="W1164" s="584">
        <v>54224.76</v>
      </c>
      <c r="X1164" s="581"/>
      <c r="Y1164" s="581"/>
      <c r="Z1164" s="581"/>
      <c r="AA1164" s="581"/>
      <c r="AB1164" s="584">
        <f t="shared" si="572"/>
        <v>3849957.96</v>
      </c>
      <c r="AC1164" s="585"/>
      <c r="AD1164" s="585">
        <v>2025</v>
      </c>
      <c r="AE1164" s="585">
        <v>2026</v>
      </c>
      <c r="AF1164" s="594"/>
      <c r="AG1164" s="594"/>
    </row>
    <row r="1165" spans="1:33" s="595" customFormat="1" ht="24" customHeight="1">
      <c r="A1165" s="585">
        <f t="shared" si="569"/>
        <v>70</v>
      </c>
      <c r="B1165" s="586" t="s">
        <v>1057</v>
      </c>
      <c r="C1165" s="587">
        <f t="shared" si="571"/>
        <v>7699915.9199999999</v>
      </c>
      <c r="D1165" s="580"/>
      <c r="E1165" s="581"/>
      <c r="F1165" s="581"/>
      <c r="G1165" s="578"/>
      <c r="H1165" s="582"/>
      <c r="I1165" s="582"/>
      <c r="J1165" s="585"/>
      <c r="K1165" s="577"/>
      <c r="L1165" s="578"/>
      <c r="M1165" s="579"/>
      <c r="N1165" s="641">
        <v>2</v>
      </c>
      <c r="O1165" s="598">
        <f t="shared" si="580"/>
        <v>7229968</v>
      </c>
      <c r="P1165" s="579"/>
      <c r="Q1165" s="578"/>
      <c r="R1165" s="580"/>
      <c r="S1165" s="580"/>
      <c r="T1165" s="580"/>
      <c r="U1165" s="580"/>
      <c r="V1165" s="583">
        <v>361498.4</v>
      </c>
      <c r="W1165" s="584">
        <v>108449.52</v>
      </c>
      <c r="X1165" s="581"/>
      <c r="Y1165" s="581"/>
      <c r="Z1165" s="581"/>
      <c r="AA1165" s="581"/>
      <c r="AB1165" s="584">
        <f t="shared" si="572"/>
        <v>7699915.9199999999</v>
      </c>
      <c r="AC1165" s="585"/>
      <c r="AD1165" s="585">
        <v>2025</v>
      </c>
      <c r="AE1165" s="585">
        <v>2026</v>
      </c>
      <c r="AF1165" s="594"/>
      <c r="AG1165" s="594"/>
    </row>
    <row r="1166" spans="1:33" s="595" customFormat="1" ht="24" customHeight="1">
      <c r="A1166" s="585">
        <f t="shared" si="569"/>
        <v>71</v>
      </c>
      <c r="B1166" s="586" t="s">
        <v>1058</v>
      </c>
      <c r="C1166" s="587">
        <f t="shared" si="571"/>
        <v>3849957.96</v>
      </c>
      <c r="D1166" s="580"/>
      <c r="E1166" s="581"/>
      <c r="F1166" s="581"/>
      <c r="G1166" s="578"/>
      <c r="H1166" s="582"/>
      <c r="I1166" s="582"/>
      <c r="J1166" s="585"/>
      <c r="K1166" s="577"/>
      <c r="L1166" s="578"/>
      <c r="M1166" s="579"/>
      <c r="N1166" s="641">
        <v>1</v>
      </c>
      <c r="O1166" s="598">
        <f t="shared" si="580"/>
        <v>3614984</v>
      </c>
      <c r="P1166" s="579"/>
      <c r="Q1166" s="578"/>
      <c r="R1166" s="580"/>
      <c r="S1166" s="580"/>
      <c r="T1166" s="580"/>
      <c r="U1166" s="580"/>
      <c r="V1166" s="583">
        <v>180749.2</v>
      </c>
      <c r="W1166" s="584">
        <v>54224.76</v>
      </c>
      <c r="X1166" s="581"/>
      <c r="Y1166" s="581"/>
      <c r="Z1166" s="581"/>
      <c r="AA1166" s="581"/>
      <c r="AB1166" s="584">
        <f t="shared" si="572"/>
        <v>3849957.96</v>
      </c>
      <c r="AC1166" s="585"/>
      <c r="AD1166" s="585">
        <v>2025</v>
      </c>
      <c r="AE1166" s="585">
        <v>2026</v>
      </c>
      <c r="AF1166" s="594"/>
      <c r="AG1166" s="594"/>
    </row>
    <row r="1167" spans="1:33" s="595" customFormat="1" ht="24" customHeight="1">
      <c r="A1167" s="585">
        <f t="shared" si="569"/>
        <v>72</v>
      </c>
      <c r="B1167" s="586" t="s">
        <v>1059</v>
      </c>
      <c r="C1167" s="587">
        <f t="shared" si="571"/>
        <v>3849957.96</v>
      </c>
      <c r="D1167" s="580"/>
      <c r="E1167" s="581"/>
      <c r="F1167" s="581"/>
      <c r="G1167" s="578"/>
      <c r="H1167" s="582"/>
      <c r="I1167" s="582"/>
      <c r="J1167" s="585"/>
      <c r="K1167" s="577"/>
      <c r="L1167" s="578"/>
      <c r="M1167" s="579"/>
      <c r="N1167" s="641">
        <v>1</v>
      </c>
      <c r="O1167" s="598">
        <f t="shared" si="580"/>
        <v>3614984</v>
      </c>
      <c r="P1167" s="579"/>
      <c r="Q1167" s="578"/>
      <c r="R1167" s="580"/>
      <c r="S1167" s="580"/>
      <c r="T1167" s="580"/>
      <c r="U1167" s="580"/>
      <c r="V1167" s="583">
        <v>180749.2</v>
      </c>
      <c r="W1167" s="584">
        <v>54224.76</v>
      </c>
      <c r="X1167" s="581"/>
      <c r="Y1167" s="581"/>
      <c r="Z1167" s="581"/>
      <c r="AA1167" s="581"/>
      <c r="AB1167" s="584">
        <f t="shared" si="572"/>
        <v>3849957.96</v>
      </c>
      <c r="AC1167" s="585"/>
      <c r="AD1167" s="585">
        <v>2025</v>
      </c>
      <c r="AE1167" s="585">
        <v>2026</v>
      </c>
      <c r="AF1167" s="594"/>
      <c r="AG1167" s="594"/>
    </row>
    <row r="1168" spans="1:33" s="595" customFormat="1" ht="24" customHeight="1">
      <c r="A1168" s="585">
        <f t="shared" si="569"/>
        <v>73</v>
      </c>
      <c r="B1168" s="586" t="s">
        <v>1060</v>
      </c>
      <c r="C1168" s="587">
        <f t="shared" si="571"/>
        <v>7699915.9199999999</v>
      </c>
      <c r="D1168" s="580"/>
      <c r="E1168" s="581"/>
      <c r="F1168" s="581"/>
      <c r="G1168" s="578"/>
      <c r="H1168" s="582"/>
      <c r="I1168" s="582"/>
      <c r="J1168" s="585"/>
      <c r="K1168" s="577"/>
      <c r="L1168" s="578"/>
      <c r="M1168" s="579"/>
      <c r="N1168" s="641">
        <v>2</v>
      </c>
      <c r="O1168" s="598">
        <f t="shared" si="580"/>
        <v>7229968</v>
      </c>
      <c r="P1168" s="579"/>
      <c r="Q1168" s="578"/>
      <c r="R1168" s="580"/>
      <c r="S1168" s="580"/>
      <c r="T1168" s="580"/>
      <c r="U1168" s="580"/>
      <c r="V1168" s="583">
        <v>361498.4</v>
      </c>
      <c r="W1168" s="584">
        <v>108449.52</v>
      </c>
      <c r="X1168" s="581"/>
      <c r="Y1168" s="581"/>
      <c r="Z1168" s="581"/>
      <c r="AA1168" s="581"/>
      <c r="AB1168" s="584">
        <f t="shared" si="572"/>
        <v>7699915.9199999999</v>
      </c>
      <c r="AC1168" s="585"/>
      <c r="AD1168" s="585">
        <v>2025</v>
      </c>
      <c r="AE1168" s="585">
        <v>2026</v>
      </c>
      <c r="AF1168" s="594"/>
      <c r="AG1168" s="594"/>
    </row>
    <row r="1169" spans="1:33" s="595" customFormat="1" ht="24" customHeight="1">
      <c r="A1169" s="585">
        <f t="shared" si="569"/>
        <v>74</v>
      </c>
      <c r="B1169" s="586" t="s">
        <v>1061</v>
      </c>
      <c r="C1169" s="587">
        <f t="shared" si="571"/>
        <v>3849957.96</v>
      </c>
      <c r="D1169" s="580"/>
      <c r="E1169" s="581"/>
      <c r="F1169" s="581"/>
      <c r="G1169" s="578"/>
      <c r="H1169" s="582"/>
      <c r="I1169" s="582"/>
      <c r="J1169" s="585"/>
      <c r="K1169" s="577"/>
      <c r="L1169" s="578"/>
      <c r="M1169" s="579"/>
      <c r="N1169" s="641">
        <v>1</v>
      </c>
      <c r="O1169" s="598">
        <f t="shared" si="580"/>
        <v>3614984</v>
      </c>
      <c r="P1169" s="579"/>
      <c r="Q1169" s="578"/>
      <c r="R1169" s="580"/>
      <c r="S1169" s="580"/>
      <c r="T1169" s="580"/>
      <c r="U1169" s="580"/>
      <c r="V1169" s="583">
        <v>180749.2</v>
      </c>
      <c r="W1169" s="584">
        <v>54224.76</v>
      </c>
      <c r="X1169" s="581"/>
      <c r="Y1169" s="581"/>
      <c r="Z1169" s="581"/>
      <c r="AA1169" s="581"/>
      <c r="AB1169" s="584">
        <f t="shared" si="572"/>
        <v>3849957.96</v>
      </c>
      <c r="AC1169" s="585"/>
      <c r="AD1169" s="585">
        <v>2025</v>
      </c>
      <c r="AE1169" s="585">
        <v>2026</v>
      </c>
      <c r="AF1169" s="594"/>
      <c r="AG1169" s="594"/>
    </row>
    <row r="1170" spans="1:33" s="595" customFormat="1" ht="24" customHeight="1">
      <c r="A1170" s="585">
        <f t="shared" si="569"/>
        <v>75</v>
      </c>
      <c r="B1170" s="586" t="s">
        <v>1062</v>
      </c>
      <c r="C1170" s="587">
        <f t="shared" si="571"/>
        <v>3849957.96</v>
      </c>
      <c r="D1170" s="580"/>
      <c r="E1170" s="581"/>
      <c r="F1170" s="581"/>
      <c r="G1170" s="578"/>
      <c r="H1170" s="582"/>
      <c r="I1170" s="582"/>
      <c r="J1170" s="585"/>
      <c r="K1170" s="577"/>
      <c r="L1170" s="578"/>
      <c r="M1170" s="579"/>
      <c r="N1170" s="641">
        <v>1</v>
      </c>
      <c r="O1170" s="598">
        <f t="shared" si="580"/>
        <v>3614984</v>
      </c>
      <c r="P1170" s="579"/>
      <c r="Q1170" s="578"/>
      <c r="R1170" s="580"/>
      <c r="S1170" s="580"/>
      <c r="T1170" s="580"/>
      <c r="U1170" s="580"/>
      <c r="V1170" s="583">
        <v>180749.2</v>
      </c>
      <c r="W1170" s="584">
        <v>54224.76</v>
      </c>
      <c r="X1170" s="581"/>
      <c r="Y1170" s="581"/>
      <c r="Z1170" s="581"/>
      <c r="AA1170" s="581"/>
      <c r="AB1170" s="584">
        <f t="shared" si="572"/>
        <v>3849957.96</v>
      </c>
      <c r="AC1170" s="585"/>
      <c r="AD1170" s="585">
        <v>2025</v>
      </c>
      <c r="AE1170" s="585">
        <v>2026</v>
      </c>
      <c r="AF1170" s="594"/>
      <c r="AG1170" s="594"/>
    </row>
    <row r="1171" spans="1:33" s="595" customFormat="1" ht="24" customHeight="1">
      <c r="A1171" s="585">
        <f t="shared" si="569"/>
        <v>76</v>
      </c>
      <c r="B1171" s="586" t="s">
        <v>1063</v>
      </c>
      <c r="C1171" s="587">
        <f t="shared" si="571"/>
        <v>7699915.9199999999</v>
      </c>
      <c r="D1171" s="580"/>
      <c r="E1171" s="581"/>
      <c r="F1171" s="581"/>
      <c r="G1171" s="578"/>
      <c r="H1171" s="582"/>
      <c r="I1171" s="582"/>
      <c r="J1171" s="585"/>
      <c r="K1171" s="577"/>
      <c r="L1171" s="578"/>
      <c r="M1171" s="579"/>
      <c r="N1171" s="641">
        <v>2</v>
      </c>
      <c r="O1171" s="598">
        <f t="shared" si="580"/>
        <v>7229968</v>
      </c>
      <c r="P1171" s="579"/>
      <c r="Q1171" s="578"/>
      <c r="R1171" s="580"/>
      <c r="S1171" s="580"/>
      <c r="T1171" s="580"/>
      <c r="U1171" s="580"/>
      <c r="V1171" s="583">
        <v>361498.4</v>
      </c>
      <c r="W1171" s="584">
        <v>108449.52</v>
      </c>
      <c r="X1171" s="581"/>
      <c r="Y1171" s="581"/>
      <c r="Z1171" s="581"/>
      <c r="AA1171" s="581"/>
      <c r="AB1171" s="584">
        <f t="shared" si="572"/>
        <v>7699915.9199999999</v>
      </c>
      <c r="AC1171" s="585"/>
      <c r="AD1171" s="585">
        <v>2025</v>
      </c>
      <c r="AE1171" s="585">
        <v>2026</v>
      </c>
      <c r="AF1171" s="594"/>
      <c r="AG1171" s="594"/>
    </row>
    <row r="1172" spans="1:33" s="595" customFormat="1" ht="24" customHeight="1">
      <c r="A1172" s="585">
        <f t="shared" si="569"/>
        <v>77</v>
      </c>
      <c r="B1172" s="586" t="s">
        <v>1064</v>
      </c>
      <c r="C1172" s="587">
        <f t="shared" si="571"/>
        <v>15399831.84</v>
      </c>
      <c r="D1172" s="580"/>
      <c r="E1172" s="581"/>
      <c r="F1172" s="581"/>
      <c r="G1172" s="578"/>
      <c r="H1172" s="582"/>
      <c r="I1172" s="582"/>
      <c r="J1172" s="585"/>
      <c r="K1172" s="577"/>
      <c r="L1172" s="578"/>
      <c r="M1172" s="579"/>
      <c r="N1172" s="641">
        <v>4</v>
      </c>
      <c r="O1172" s="598">
        <f t="shared" si="580"/>
        <v>14459936</v>
      </c>
      <c r="P1172" s="579"/>
      <c r="Q1172" s="578"/>
      <c r="R1172" s="580"/>
      <c r="S1172" s="580"/>
      <c r="T1172" s="580"/>
      <c r="U1172" s="580"/>
      <c r="V1172" s="583">
        <v>722996.8</v>
      </c>
      <c r="W1172" s="584">
        <v>216899.04</v>
      </c>
      <c r="X1172" s="581"/>
      <c r="Y1172" s="581"/>
      <c r="Z1172" s="581"/>
      <c r="AA1172" s="581"/>
      <c r="AB1172" s="584">
        <f t="shared" si="572"/>
        <v>15399831.84</v>
      </c>
      <c r="AC1172" s="585"/>
      <c r="AD1172" s="585">
        <v>2025</v>
      </c>
      <c r="AE1172" s="585">
        <v>2026</v>
      </c>
      <c r="AF1172" s="594"/>
      <c r="AG1172" s="594"/>
    </row>
    <row r="1173" spans="1:33" s="26" customFormat="1" ht="24" customHeight="1">
      <c r="A1173" s="585">
        <f t="shared" si="569"/>
        <v>78</v>
      </c>
      <c r="B1173" s="20" t="s">
        <v>1128</v>
      </c>
      <c r="C1173" s="4">
        <f t="shared" si="571"/>
        <v>3834000</v>
      </c>
      <c r="D1173" s="9"/>
      <c r="E1173" s="21"/>
      <c r="F1173" s="21"/>
      <c r="G1173" s="12"/>
      <c r="H1173" s="13"/>
      <c r="I1173" s="13"/>
      <c r="J1173" s="18"/>
      <c r="K1173" s="645"/>
      <c r="L1173" s="12"/>
      <c r="M1173" s="22"/>
      <c r="N1173" s="551">
        <v>1</v>
      </c>
      <c r="O1173" s="46">
        <f>3600000*N1173</f>
        <v>3600000</v>
      </c>
      <c r="P1173" s="22"/>
      <c r="Q1173" s="12"/>
      <c r="R1173" s="9"/>
      <c r="S1173" s="9"/>
      <c r="T1173" s="9"/>
      <c r="U1173" s="9"/>
      <c r="V1173" s="3">
        <v>180000</v>
      </c>
      <c r="W1173" s="24">
        <v>54000</v>
      </c>
      <c r="X1173" s="21"/>
      <c r="Y1173" s="21"/>
      <c r="Z1173" s="24">
        <f>C1173</f>
        <v>3834000</v>
      </c>
      <c r="AA1173" s="21"/>
      <c r="AB1173" s="24"/>
      <c r="AC1173" s="18"/>
      <c r="AD1173" s="18">
        <v>2025</v>
      </c>
      <c r="AE1173" s="18">
        <v>2025</v>
      </c>
      <c r="AF1173" s="91"/>
      <c r="AG1173" s="91"/>
    </row>
    <row r="1174" spans="1:33" s="26" customFormat="1" ht="24" customHeight="1">
      <c r="A1174" s="585">
        <f t="shared" si="569"/>
        <v>79</v>
      </c>
      <c r="B1174" s="20" t="s">
        <v>1129</v>
      </c>
      <c r="C1174" s="4">
        <f t="shared" si="571"/>
        <v>3834000</v>
      </c>
      <c r="D1174" s="9"/>
      <c r="E1174" s="21"/>
      <c r="F1174" s="21"/>
      <c r="G1174" s="12"/>
      <c r="H1174" s="13"/>
      <c r="I1174" s="13"/>
      <c r="J1174" s="18"/>
      <c r="K1174" s="645"/>
      <c r="L1174" s="12"/>
      <c r="M1174" s="22"/>
      <c r="N1174" s="551">
        <v>1</v>
      </c>
      <c r="O1174" s="46">
        <f>3600000*N1174</f>
        <v>3600000</v>
      </c>
      <c r="P1174" s="22"/>
      <c r="Q1174" s="12"/>
      <c r="R1174" s="9"/>
      <c r="S1174" s="9"/>
      <c r="T1174" s="9"/>
      <c r="U1174" s="9"/>
      <c r="V1174" s="3">
        <v>180000</v>
      </c>
      <c r="W1174" s="24">
        <v>54000</v>
      </c>
      <c r="X1174" s="21"/>
      <c r="Y1174" s="21"/>
      <c r="Z1174" s="24">
        <f>C1174</f>
        <v>3834000</v>
      </c>
      <c r="AA1174" s="21"/>
      <c r="AB1174" s="24"/>
      <c r="AC1174" s="18"/>
      <c r="AD1174" s="18">
        <v>2025</v>
      </c>
      <c r="AE1174" s="18">
        <v>2025</v>
      </c>
      <c r="AF1174" s="91"/>
      <c r="AG1174" s="91"/>
    </row>
    <row r="1175" spans="1:33" s="26" customFormat="1" ht="24" customHeight="1">
      <c r="A1175" s="585">
        <f t="shared" si="569"/>
        <v>80</v>
      </c>
      <c r="B1175" s="20" t="s">
        <v>1130</v>
      </c>
      <c r="C1175" s="4">
        <f t="shared" si="571"/>
        <v>15336000</v>
      </c>
      <c r="D1175" s="9"/>
      <c r="E1175" s="21"/>
      <c r="F1175" s="21"/>
      <c r="G1175" s="12"/>
      <c r="H1175" s="13"/>
      <c r="I1175" s="13"/>
      <c r="J1175" s="18"/>
      <c r="K1175" s="645"/>
      <c r="L1175" s="12"/>
      <c r="M1175" s="22"/>
      <c r="N1175" s="551">
        <v>4</v>
      </c>
      <c r="O1175" s="46">
        <f>3600000*N1175</f>
        <v>14400000</v>
      </c>
      <c r="P1175" s="22"/>
      <c r="Q1175" s="12"/>
      <c r="R1175" s="9"/>
      <c r="S1175" s="9"/>
      <c r="T1175" s="9"/>
      <c r="U1175" s="9"/>
      <c r="V1175" s="3">
        <v>720000</v>
      </c>
      <c r="W1175" s="24">
        <v>216000</v>
      </c>
      <c r="X1175" s="21"/>
      <c r="Y1175" s="21"/>
      <c r="Z1175" s="24">
        <f>C1175</f>
        <v>15336000</v>
      </c>
      <c r="AA1175" s="21"/>
      <c r="AB1175" s="24"/>
      <c r="AC1175" s="18"/>
      <c r="AD1175" s="18">
        <v>2025</v>
      </c>
      <c r="AE1175" s="18">
        <v>2025</v>
      </c>
      <c r="AF1175" s="91"/>
      <c r="AG1175" s="91"/>
    </row>
    <row r="1176" spans="1:33" s="26" customFormat="1" ht="24" customHeight="1">
      <c r="A1176" s="585">
        <f t="shared" si="569"/>
        <v>81</v>
      </c>
      <c r="B1176" s="20" t="s">
        <v>1131</v>
      </c>
      <c r="C1176" s="4">
        <f t="shared" si="571"/>
        <v>3834000</v>
      </c>
      <c r="D1176" s="9"/>
      <c r="E1176" s="21"/>
      <c r="F1176" s="21"/>
      <c r="G1176" s="12"/>
      <c r="H1176" s="13"/>
      <c r="I1176" s="13"/>
      <c r="J1176" s="18"/>
      <c r="K1176" s="645"/>
      <c r="L1176" s="12"/>
      <c r="M1176" s="22"/>
      <c r="N1176" s="551">
        <v>1</v>
      </c>
      <c r="O1176" s="46">
        <f>3600000*N1176</f>
        <v>3600000</v>
      </c>
      <c r="P1176" s="22"/>
      <c r="Q1176" s="12"/>
      <c r="R1176" s="9"/>
      <c r="S1176" s="9"/>
      <c r="T1176" s="9"/>
      <c r="U1176" s="9"/>
      <c r="V1176" s="3">
        <v>180000</v>
      </c>
      <c r="W1176" s="24">
        <v>54000</v>
      </c>
      <c r="X1176" s="21"/>
      <c r="Y1176" s="21"/>
      <c r="Z1176" s="24">
        <f>C1176</f>
        <v>3834000</v>
      </c>
      <c r="AA1176" s="21"/>
      <c r="AB1176" s="24"/>
      <c r="AC1176" s="18"/>
      <c r="AD1176" s="18">
        <v>2025</v>
      </c>
      <c r="AE1176" s="18">
        <v>2025</v>
      </c>
      <c r="AF1176" s="91"/>
      <c r="AG1176" s="91"/>
    </row>
    <row r="1177" spans="1:33" s="26" customFormat="1" ht="24" customHeight="1">
      <c r="A1177" s="585">
        <f t="shared" si="569"/>
        <v>82</v>
      </c>
      <c r="B1177" s="20" t="s">
        <v>1132</v>
      </c>
      <c r="C1177" s="4">
        <f t="shared" si="571"/>
        <v>7668000</v>
      </c>
      <c r="D1177" s="9"/>
      <c r="E1177" s="21"/>
      <c r="F1177" s="21"/>
      <c r="G1177" s="12"/>
      <c r="H1177" s="13"/>
      <c r="I1177" s="13"/>
      <c r="J1177" s="18"/>
      <c r="K1177" s="645"/>
      <c r="L1177" s="12"/>
      <c r="M1177" s="22"/>
      <c r="N1177" s="551">
        <v>2</v>
      </c>
      <c r="O1177" s="46">
        <f>3600000*N1177</f>
        <v>7200000</v>
      </c>
      <c r="P1177" s="22"/>
      <c r="Q1177" s="12"/>
      <c r="R1177" s="9"/>
      <c r="S1177" s="9"/>
      <c r="T1177" s="9"/>
      <c r="U1177" s="9"/>
      <c r="V1177" s="3">
        <v>360000</v>
      </c>
      <c r="W1177" s="24">
        <v>108000</v>
      </c>
      <c r="X1177" s="21"/>
      <c r="Y1177" s="21"/>
      <c r="Z1177" s="24">
        <f>C1177</f>
        <v>7668000</v>
      </c>
      <c r="AA1177" s="21"/>
      <c r="AB1177" s="24"/>
      <c r="AC1177" s="18"/>
      <c r="AD1177" s="18">
        <v>2025</v>
      </c>
      <c r="AE1177" s="18">
        <v>2025</v>
      </c>
      <c r="AF1177" s="91"/>
      <c r="AG1177" s="91"/>
    </row>
    <row r="1178" spans="1:33" s="595" customFormat="1" ht="24" customHeight="1">
      <c r="A1178" s="585">
        <f t="shared" si="569"/>
        <v>83</v>
      </c>
      <c r="B1178" s="586" t="s">
        <v>1028</v>
      </c>
      <c r="C1178" s="587">
        <f t="shared" si="571"/>
        <v>29698073.859999999</v>
      </c>
      <c r="D1178" s="580"/>
      <c r="E1178" s="581"/>
      <c r="F1178" s="581"/>
      <c r="G1178" s="578"/>
      <c r="H1178" s="582"/>
      <c r="I1178" s="582"/>
      <c r="J1178" s="585"/>
      <c r="K1178" s="577"/>
      <c r="L1178" s="578"/>
      <c r="M1178" s="579"/>
      <c r="N1178" s="579"/>
      <c r="O1178" s="579"/>
      <c r="P1178" s="598">
        <v>14606199.93</v>
      </c>
      <c r="Q1178" s="578"/>
      <c r="R1178" s="580">
        <v>13279315.43</v>
      </c>
      <c r="S1178" s="580"/>
      <c r="T1178" s="580"/>
      <c r="U1178" s="580"/>
      <c r="V1178" s="583">
        <f>663965.77+730310</f>
        <v>1394275.77</v>
      </c>
      <c r="W1178" s="584">
        <f>199189.73+219093</f>
        <v>418282.73</v>
      </c>
      <c r="X1178" s="581"/>
      <c r="Y1178" s="581"/>
      <c r="Z1178" s="581"/>
      <c r="AA1178" s="581"/>
      <c r="AB1178" s="584">
        <f t="shared" si="572"/>
        <v>29698073.859999999</v>
      </c>
      <c r="AC1178" s="585"/>
      <c r="AD1178" s="585">
        <v>2025</v>
      </c>
      <c r="AE1178" s="585">
        <v>2026</v>
      </c>
      <c r="AF1178" s="594"/>
      <c r="AG1178" s="594"/>
    </row>
    <row r="1179" spans="1:33" s="595" customFormat="1" ht="24" customHeight="1">
      <c r="A1179" s="585">
        <f t="shared" si="569"/>
        <v>84</v>
      </c>
      <c r="B1179" s="586" t="s">
        <v>1029</v>
      </c>
      <c r="C1179" s="587">
        <f t="shared" si="571"/>
        <v>8360130.2400000002</v>
      </c>
      <c r="D1179" s="581"/>
      <c r="E1179" s="581"/>
      <c r="F1179" s="581"/>
      <c r="G1179" s="578">
        <v>3750710.83</v>
      </c>
      <c r="H1179" s="580">
        <v>4099176.72</v>
      </c>
      <c r="I1179" s="582"/>
      <c r="J1179" s="585"/>
      <c r="K1179" s="577"/>
      <c r="L1179" s="578"/>
      <c r="M1179" s="579"/>
      <c r="N1179" s="579"/>
      <c r="O1179" s="579"/>
      <c r="P1179" s="579"/>
      <c r="Q1179" s="578"/>
      <c r="R1179" s="580"/>
      <c r="S1179" s="580"/>
      <c r="T1179" s="580"/>
      <c r="U1179" s="580"/>
      <c r="V1179" s="583">
        <v>392494.38</v>
      </c>
      <c r="W1179" s="584">
        <f t="shared" ref="W1179:W1180" si="581">ROUND((D1179+F1179+G1179+H1179+I1179+L1179+M1179+O1179+P1179+Q1179+R1179+S1179)*1.5%,2)</f>
        <v>117748.31</v>
      </c>
      <c r="X1179" s="581"/>
      <c r="Y1179" s="581"/>
      <c r="Z1179" s="581"/>
      <c r="AA1179" s="581"/>
      <c r="AB1179" s="584">
        <f t="shared" si="572"/>
        <v>8360130.2400000002</v>
      </c>
      <c r="AC1179" s="585"/>
      <c r="AD1179" s="585">
        <v>2025</v>
      </c>
      <c r="AE1179" s="585">
        <v>2026</v>
      </c>
      <c r="AF1179" s="594"/>
      <c r="AG1179" s="594"/>
    </row>
    <row r="1180" spans="1:33" s="26" customFormat="1" ht="24" customHeight="1">
      <c r="A1180" s="585">
        <f t="shared" si="569"/>
        <v>85</v>
      </c>
      <c r="B1180" s="20" t="s">
        <v>1206</v>
      </c>
      <c r="C1180" s="4">
        <f t="shared" si="571"/>
        <v>31361592.989999998</v>
      </c>
      <c r="D1180" s="21"/>
      <c r="E1180" s="21"/>
      <c r="F1180" s="21"/>
      <c r="G1180" s="12"/>
      <c r="H1180" s="9"/>
      <c r="I1180" s="13"/>
      <c r="J1180" s="18"/>
      <c r="K1180" s="645"/>
      <c r="L1180" s="12"/>
      <c r="M1180" s="22"/>
      <c r="N1180" s="22"/>
      <c r="O1180" s="22"/>
      <c r="P1180" s="46">
        <v>4290493.5599999996</v>
      </c>
      <c r="Q1180" s="12"/>
      <c r="R1180" s="9">
        <v>25157011.59</v>
      </c>
      <c r="S1180" s="9"/>
      <c r="T1180" s="9"/>
      <c r="U1180" s="9"/>
      <c r="V1180" s="3">
        <f>214524.68+1257850.58</f>
        <v>1472375.26</v>
      </c>
      <c r="W1180" s="24">
        <f t="shared" si="581"/>
        <v>441712.58</v>
      </c>
      <c r="X1180" s="21"/>
      <c r="Y1180" s="21"/>
      <c r="Z1180" s="24">
        <f>C1180</f>
        <v>31361592.989999998</v>
      </c>
      <c r="AA1180" s="21"/>
      <c r="AB1180" s="24"/>
      <c r="AC1180" s="18"/>
      <c r="AD1180" s="18">
        <v>2025</v>
      </c>
      <c r="AE1180" s="18">
        <v>2025</v>
      </c>
      <c r="AF1180" s="91"/>
      <c r="AG1180" s="91"/>
    </row>
    <row r="1181" spans="1:33" s="595" customFormat="1" ht="24" customHeight="1">
      <c r="A1181" s="585">
        <f t="shared" si="569"/>
        <v>86</v>
      </c>
      <c r="B1181" s="249" t="s">
        <v>933</v>
      </c>
      <c r="C1181" s="232">
        <f t="shared" si="571"/>
        <v>3466085.49</v>
      </c>
      <c r="D1181" s="228"/>
      <c r="E1181" s="229"/>
      <c r="F1181" s="229"/>
      <c r="G1181" s="182"/>
      <c r="H1181" s="234"/>
      <c r="I1181" s="234"/>
      <c r="J1181" s="231"/>
      <c r="K1181" s="380"/>
      <c r="L1181" s="182"/>
      <c r="M1181" s="185"/>
      <c r="N1181" s="185"/>
      <c r="O1181" s="185"/>
      <c r="P1181" s="185"/>
      <c r="Q1181" s="182"/>
      <c r="R1181" s="228"/>
      <c r="S1181" s="228">
        <f>ROUND(2737*1135.41,2)</f>
        <v>3107617.17</v>
      </c>
      <c r="T1181" s="228"/>
      <c r="U1181" s="228"/>
      <c r="V1181" s="236">
        <v>311854.06</v>
      </c>
      <c r="W1181" s="230">
        <f t="shared" si="574"/>
        <v>46614.26</v>
      </c>
      <c r="X1181" s="229"/>
      <c r="Y1181" s="229"/>
      <c r="Z1181" s="229"/>
      <c r="AA1181" s="229"/>
      <c r="AB1181" s="230">
        <f t="shared" si="572"/>
        <v>3466085.49</v>
      </c>
      <c r="AC1181" s="231"/>
      <c r="AD1181" s="231">
        <v>2025</v>
      </c>
      <c r="AE1181" s="231">
        <v>2025</v>
      </c>
      <c r="AF1181" s="594"/>
      <c r="AG1181" s="594"/>
    </row>
    <row r="1182" spans="1:33" s="595" customFormat="1" ht="24" customHeight="1">
      <c r="A1182" s="585">
        <f t="shared" si="569"/>
        <v>87</v>
      </c>
      <c r="B1182" s="20" t="s">
        <v>934</v>
      </c>
      <c r="C1182" s="4">
        <f t="shared" si="571"/>
        <v>6302152.5899999999</v>
      </c>
      <c r="D1182" s="9"/>
      <c r="E1182" s="21"/>
      <c r="F1182" s="21"/>
      <c r="G1182" s="12"/>
      <c r="H1182" s="13"/>
      <c r="I1182" s="13"/>
      <c r="J1182" s="18"/>
      <c r="K1182" s="7"/>
      <c r="L1182" s="12"/>
      <c r="M1182" s="22"/>
      <c r="N1182" s="22"/>
      <c r="O1182" s="22"/>
      <c r="P1182" s="12">
        <f>ROUND(2376.5*2138.99,2)</f>
        <v>5083309.74</v>
      </c>
      <c r="Q1182" s="12"/>
      <c r="R1182" s="9"/>
      <c r="S1182" s="9"/>
      <c r="T1182" s="108"/>
      <c r="U1182" s="108"/>
      <c r="V1182" s="3">
        <v>1142593.2</v>
      </c>
      <c r="W1182" s="24">
        <f t="shared" si="574"/>
        <v>76249.649999999994</v>
      </c>
      <c r="X1182" s="21"/>
      <c r="Y1182" s="21"/>
      <c r="Z1182" s="21"/>
      <c r="AA1182" s="21"/>
      <c r="AB1182" s="24">
        <f t="shared" si="572"/>
        <v>6302152.5899999999</v>
      </c>
      <c r="AC1182" s="18"/>
      <c r="AD1182" s="18">
        <v>2025</v>
      </c>
      <c r="AE1182" s="18">
        <v>2025</v>
      </c>
      <c r="AF1182" s="596"/>
      <c r="AG1182" s="594"/>
    </row>
    <row r="1183" spans="1:33" s="595" customFormat="1" ht="24" customHeight="1">
      <c r="A1183" s="585">
        <f t="shared" si="569"/>
        <v>88</v>
      </c>
      <c r="B1183" s="586" t="s">
        <v>1030</v>
      </c>
      <c r="C1183" s="587">
        <f t="shared" si="571"/>
        <v>5479970.1799999997</v>
      </c>
      <c r="D1183" s="580"/>
      <c r="E1183" s="640">
        <v>1</v>
      </c>
      <c r="F1183" s="589">
        <v>1612809</v>
      </c>
      <c r="G1183" s="578"/>
      <c r="H1183" s="582"/>
      <c r="I1183" s="582"/>
      <c r="J1183" s="585"/>
      <c r="K1183" s="577"/>
      <c r="L1183" s="578"/>
      <c r="M1183" s="579"/>
      <c r="N1183" s="579">
        <v>1</v>
      </c>
      <c r="O1183" s="598">
        <v>3398093</v>
      </c>
      <c r="P1183" s="578"/>
      <c r="Q1183" s="578"/>
      <c r="R1183" s="580"/>
      <c r="S1183" s="580"/>
      <c r="T1183" s="580"/>
      <c r="U1183" s="580"/>
      <c r="V1183" s="583">
        <f>169904.65+224000</f>
        <v>393904.65</v>
      </c>
      <c r="W1183" s="584">
        <f>ROUND((D1183+F1183+G1183+H1183+I1183+L1183+M1183+O1183+P1183+Q1183+R1183+S1183)*1.5%,2)</f>
        <v>75163.53</v>
      </c>
      <c r="X1183" s="581"/>
      <c r="Y1183" s="581"/>
      <c r="Z1183" s="581"/>
      <c r="AA1183" s="581"/>
      <c r="AB1183" s="584">
        <f t="shared" si="572"/>
        <v>5479970.1799999997</v>
      </c>
      <c r="AC1183" s="585"/>
      <c r="AD1183" s="585">
        <v>2025</v>
      </c>
      <c r="AE1183" s="585">
        <v>2026</v>
      </c>
      <c r="AF1183" s="594"/>
      <c r="AG1183" s="594"/>
    </row>
    <row r="1184" spans="1:33" s="26" customFormat="1" ht="24" customHeight="1">
      <c r="A1184" s="585">
        <f t="shared" si="569"/>
        <v>89</v>
      </c>
      <c r="B1184" s="586" t="s">
        <v>343</v>
      </c>
      <c r="C1184" s="587">
        <f t="shared" si="571"/>
        <v>5866987.5700000003</v>
      </c>
      <c r="D1184" s="580"/>
      <c r="E1184" s="581"/>
      <c r="F1184" s="581"/>
      <c r="G1184" s="578"/>
      <c r="H1184" s="582"/>
      <c r="I1184" s="582"/>
      <c r="J1184" s="585"/>
      <c r="K1184" s="577"/>
      <c r="L1184" s="578"/>
      <c r="M1184" s="597">
        <f>5696104.43+85441.57</f>
        <v>5781546</v>
      </c>
      <c r="N1184" s="579"/>
      <c r="O1184" s="579"/>
      <c r="P1184" s="578"/>
      <c r="Q1184" s="578"/>
      <c r="R1184" s="580"/>
      <c r="S1184" s="580"/>
      <c r="T1184" s="580"/>
      <c r="U1184" s="580"/>
      <c r="V1184" s="583"/>
      <c r="W1184" s="584">
        <v>85441.57</v>
      </c>
      <c r="X1184" s="581"/>
      <c r="Y1184" s="581"/>
      <c r="Z1184" s="581"/>
      <c r="AA1184" s="581"/>
      <c r="AB1184" s="584">
        <f t="shared" si="572"/>
        <v>5866987.5700000003</v>
      </c>
      <c r="AC1184" s="585"/>
      <c r="AD1184" s="585">
        <v>2023</v>
      </c>
      <c r="AE1184" s="585">
        <v>2025</v>
      </c>
      <c r="AF1184" s="91"/>
      <c r="AG1184" s="91"/>
    </row>
    <row r="1185" spans="1:33" s="26" customFormat="1" ht="24" customHeight="1">
      <c r="A1185" s="585">
        <f t="shared" si="569"/>
        <v>90</v>
      </c>
      <c r="B1185" s="20" t="s">
        <v>1153</v>
      </c>
      <c r="C1185" s="4">
        <f t="shared" si="571"/>
        <v>28201631.199999999</v>
      </c>
      <c r="D1185" s="9"/>
      <c r="E1185" s="21"/>
      <c r="F1185" s="21"/>
      <c r="G1185" s="12"/>
      <c r="H1185" s="13"/>
      <c r="I1185" s="13"/>
      <c r="J1185" s="18"/>
      <c r="K1185" s="14"/>
      <c r="L1185" s="12"/>
      <c r="M1185" s="711"/>
      <c r="N1185" s="22"/>
      <c r="O1185" s="22"/>
      <c r="P1185" s="12"/>
      <c r="Q1185" s="12"/>
      <c r="R1185" s="9">
        <v>26480404.890000001</v>
      </c>
      <c r="S1185" s="9"/>
      <c r="T1185" s="9"/>
      <c r="U1185" s="9"/>
      <c r="V1185" s="3">
        <v>1324020.24</v>
      </c>
      <c r="W1185" s="24">
        <v>397206.07</v>
      </c>
      <c r="X1185" s="21"/>
      <c r="Y1185" s="21"/>
      <c r="Z1185" s="24">
        <f>C1185</f>
        <v>28201631.199999999</v>
      </c>
      <c r="AA1185" s="21"/>
      <c r="AB1185" s="24"/>
      <c r="AC1185" s="18"/>
      <c r="AD1185" s="18">
        <v>2025</v>
      </c>
      <c r="AE1185" s="18">
        <v>2025</v>
      </c>
      <c r="AF1185" s="91"/>
      <c r="AG1185" s="91"/>
    </row>
    <row r="1186" spans="1:33" s="595" customFormat="1" ht="24" customHeight="1">
      <c r="A1186" s="585">
        <f t="shared" si="569"/>
        <v>91</v>
      </c>
      <c r="B1186" s="586" t="s">
        <v>1031</v>
      </c>
      <c r="C1186" s="587">
        <f t="shared" si="571"/>
        <v>1861001.14</v>
      </c>
      <c r="D1186" s="580"/>
      <c r="E1186" s="640">
        <v>1</v>
      </c>
      <c r="F1186" s="589">
        <v>1612809</v>
      </c>
      <c r="G1186" s="588"/>
      <c r="H1186" s="589"/>
      <c r="I1186" s="589"/>
      <c r="J1186" s="589"/>
      <c r="K1186" s="589"/>
      <c r="L1186" s="588"/>
      <c r="M1186" s="588"/>
      <c r="N1186" s="588"/>
      <c r="O1186" s="588"/>
      <c r="P1186" s="589"/>
      <c r="Q1186" s="589"/>
      <c r="R1186" s="589"/>
      <c r="S1186" s="589"/>
      <c r="T1186" s="589"/>
      <c r="U1186" s="589"/>
      <c r="V1186" s="590">
        <v>224000</v>
      </c>
      <c r="W1186" s="584">
        <v>24192.14</v>
      </c>
      <c r="X1186" s="589"/>
      <c r="Y1186" s="581"/>
      <c r="Z1186" s="581"/>
      <c r="AA1186" s="581"/>
      <c r="AB1186" s="584">
        <f t="shared" si="572"/>
        <v>1861001.14</v>
      </c>
      <c r="AC1186" s="585"/>
      <c r="AD1186" s="585">
        <v>2025</v>
      </c>
      <c r="AE1186" s="585">
        <v>2026</v>
      </c>
      <c r="AF1186" s="594"/>
      <c r="AG1186" s="594"/>
    </row>
    <row r="1187" spans="1:33" s="595" customFormat="1" ht="24" customHeight="1">
      <c r="A1187" s="585">
        <f t="shared" si="569"/>
        <v>92</v>
      </c>
      <c r="B1187" s="586" t="s">
        <v>605</v>
      </c>
      <c r="C1187" s="587">
        <f t="shared" si="571"/>
        <v>2883905.37</v>
      </c>
      <c r="D1187" s="580"/>
      <c r="E1187" s="581"/>
      <c r="F1187" s="581"/>
      <c r="G1187" s="578">
        <v>2707892.36</v>
      </c>
      <c r="H1187" s="582"/>
      <c r="I1187" s="582"/>
      <c r="J1187" s="585"/>
      <c r="K1187" s="577"/>
      <c r="L1187" s="578"/>
      <c r="M1187" s="591"/>
      <c r="N1187" s="579"/>
      <c r="O1187" s="579"/>
      <c r="P1187" s="578"/>
      <c r="Q1187" s="578"/>
      <c r="R1187" s="580"/>
      <c r="S1187" s="580"/>
      <c r="T1187" s="580"/>
      <c r="U1187" s="580"/>
      <c r="V1187" s="583">
        <v>135394.62</v>
      </c>
      <c r="W1187" s="584">
        <f>ROUND((D1187+F1187+G1187+H1187+I1187+L1187+M1187+O1187+P1187+Q1187+R1187+S1187)*1.5%,2)</f>
        <v>40618.39</v>
      </c>
      <c r="X1187" s="581"/>
      <c r="Y1187" s="581"/>
      <c r="Z1187" s="581"/>
      <c r="AA1187" s="581"/>
      <c r="AB1187" s="584">
        <f t="shared" si="572"/>
        <v>2883905.37</v>
      </c>
      <c r="AC1187" s="585"/>
      <c r="AD1187" s="585">
        <v>2025</v>
      </c>
      <c r="AE1187" s="585">
        <v>2026</v>
      </c>
      <c r="AF1187" s="594"/>
      <c r="AG1187" s="594"/>
    </row>
    <row r="1188" spans="1:33" s="26" customFormat="1" ht="24" customHeight="1">
      <c r="A1188" s="585">
        <f t="shared" si="569"/>
        <v>93</v>
      </c>
      <c r="B1188" s="20" t="s">
        <v>1154</v>
      </c>
      <c r="C1188" s="4">
        <f t="shared" si="571"/>
        <v>16972329.18</v>
      </c>
      <c r="D1188" s="9"/>
      <c r="E1188" s="21"/>
      <c r="F1188" s="21"/>
      <c r="G1188" s="12"/>
      <c r="H1188" s="13"/>
      <c r="I1188" s="13"/>
      <c r="J1188" s="18"/>
      <c r="K1188" s="645"/>
      <c r="L1188" s="12"/>
      <c r="M1188" s="711"/>
      <c r="N1188" s="22"/>
      <c r="O1188" s="22"/>
      <c r="P1188" s="12">
        <v>10660738.67</v>
      </c>
      <c r="Q1188" s="12"/>
      <c r="R1188" s="9">
        <v>5275720.66</v>
      </c>
      <c r="S1188" s="9"/>
      <c r="T1188" s="9"/>
      <c r="U1188" s="9"/>
      <c r="V1188" s="3">
        <f>533036.93+263786.03</f>
        <v>796822.96</v>
      </c>
      <c r="W1188" s="24">
        <f>ROUND((D1188+F1188+G1188+H1188+I1188+L1188+M1188+O1188+P1188+Q1188+R1188+S1188)*1.5%,2)</f>
        <v>239046.89</v>
      </c>
      <c r="X1188" s="21"/>
      <c r="Y1188" s="21"/>
      <c r="Z1188" s="24">
        <f>C1188</f>
        <v>16972329.18</v>
      </c>
      <c r="AA1188" s="21"/>
      <c r="AB1188" s="24"/>
      <c r="AC1188" s="18"/>
      <c r="AD1188" s="18">
        <v>2025</v>
      </c>
      <c r="AE1188" s="18">
        <v>2025</v>
      </c>
      <c r="AF1188" s="91"/>
      <c r="AG1188" s="91"/>
    </row>
    <row r="1189" spans="1:33" s="595" customFormat="1" ht="24" customHeight="1">
      <c r="A1189" s="585">
        <f t="shared" si="569"/>
        <v>94</v>
      </c>
      <c r="B1189" s="586" t="s">
        <v>606</v>
      </c>
      <c r="C1189" s="587">
        <f t="shared" si="571"/>
        <v>4506468.37</v>
      </c>
      <c r="D1189" s="581"/>
      <c r="E1189" s="581"/>
      <c r="F1189" s="581"/>
      <c r="G1189" s="578">
        <v>1737576.16</v>
      </c>
      <c r="H1189" s="580">
        <v>2493849.5299999998</v>
      </c>
      <c r="I1189" s="582"/>
      <c r="J1189" s="585"/>
      <c r="K1189" s="577"/>
      <c r="L1189" s="578"/>
      <c r="M1189" s="579"/>
      <c r="N1189" s="579"/>
      <c r="O1189" s="579"/>
      <c r="P1189" s="579"/>
      <c r="Q1189" s="578"/>
      <c r="R1189" s="580"/>
      <c r="S1189" s="580"/>
      <c r="T1189" s="580"/>
      <c r="U1189" s="580"/>
      <c r="V1189" s="583">
        <v>211571.29</v>
      </c>
      <c r="W1189" s="584">
        <f t="shared" ref="W1189:W1191" si="582">ROUND((D1189+F1189+G1189+H1189+I1189+L1189+M1189+O1189+P1189+Q1189+R1189+S1189)*1.5%,2)</f>
        <v>63471.39</v>
      </c>
      <c r="X1189" s="581"/>
      <c r="Y1189" s="581"/>
      <c r="Z1189" s="581"/>
      <c r="AA1189" s="581"/>
      <c r="AB1189" s="584">
        <f t="shared" si="572"/>
        <v>4506468.37</v>
      </c>
      <c r="AC1189" s="585"/>
      <c r="AD1189" s="585">
        <v>2025</v>
      </c>
      <c r="AE1189" s="585">
        <v>2026</v>
      </c>
      <c r="AF1189" s="594"/>
      <c r="AG1189" s="594"/>
    </row>
    <row r="1190" spans="1:33" s="595" customFormat="1" ht="24" customHeight="1">
      <c r="A1190" s="585">
        <f t="shared" si="569"/>
        <v>95</v>
      </c>
      <c r="B1190" s="586" t="s">
        <v>607</v>
      </c>
      <c r="C1190" s="587">
        <f t="shared" si="571"/>
        <v>2884006.28</v>
      </c>
      <c r="D1190" s="581"/>
      <c r="E1190" s="581"/>
      <c r="F1190" s="581"/>
      <c r="G1190" s="578">
        <v>1111997.28</v>
      </c>
      <c r="H1190" s="580">
        <v>1595989.83</v>
      </c>
      <c r="I1190" s="582"/>
      <c r="J1190" s="585"/>
      <c r="K1190" s="577"/>
      <c r="L1190" s="578"/>
      <c r="M1190" s="579"/>
      <c r="N1190" s="579"/>
      <c r="O1190" s="579"/>
      <c r="P1190" s="579"/>
      <c r="Q1190" s="578"/>
      <c r="R1190" s="580"/>
      <c r="S1190" s="580"/>
      <c r="T1190" s="580"/>
      <c r="U1190" s="580"/>
      <c r="V1190" s="583">
        <v>135399.35999999999</v>
      </c>
      <c r="W1190" s="584">
        <f t="shared" si="582"/>
        <v>40619.81</v>
      </c>
      <c r="X1190" s="581"/>
      <c r="Y1190" s="581"/>
      <c r="Z1190" s="581"/>
      <c r="AA1190" s="581"/>
      <c r="AB1190" s="584">
        <f t="shared" si="572"/>
        <v>2884006.28</v>
      </c>
      <c r="AC1190" s="585"/>
      <c r="AD1190" s="585">
        <v>2025</v>
      </c>
      <c r="AE1190" s="585">
        <v>2026</v>
      </c>
      <c r="AF1190" s="594"/>
      <c r="AG1190" s="594"/>
    </row>
    <row r="1191" spans="1:33" s="595" customFormat="1" ht="24" customHeight="1">
      <c r="A1191" s="585">
        <f t="shared" si="569"/>
        <v>96</v>
      </c>
      <c r="B1191" s="586" t="s">
        <v>608</v>
      </c>
      <c r="C1191" s="587">
        <f t="shared" si="571"/>
        <v>5451748.0899999999</v>
      </c>
      <c r="D1191" s="581"/>
      <c r="E1191" s="581"/>
      <c r="F1191" s="581"/>
      <c r="G1191" s="578">
        <v>2673125.6800000002</v>
      </c>
      <c r="H1191" s="580">
        <v>2445886.61</v>
      </c>
      <c r="I1191" s="582"/>
      <c r="J1191" s="585"/>
      <c r="K1191" s="577"/>
      <c r="L1191" s="578"/>
      <c r="M1191" s="579"/>
      <c r="N1191" s="579"/>
      <c r="O1191" s="579"/>
      <c r="P1191" s="579"/>
      <c r="Q1191" s="578"/>
      <c r="R1191" s="580"/>
      <c r="S1191" s="580"/>
      <c r="T1191" s="580"/>
      <c r="U1191" s="580"/>
      <c r="V1191" s="583">
        <v>255950.62</v>
      </c>
      <c r="W1191" s="584">
        <f t="shared" si="582"/>
        <v>76785.179999999993</v>
      </c>
      <c r="X1191" s="581"/>
      <c r="Y1191" s="581"/>
      <c r="Z1191" s="581"/>
      <c r="AA1191" s="581"/>
      <c r="AB1191" s="584">
        <f t="shared" si="572"/>
        <v>5451748.0899999999</v>
      </c>
      <c r="AC1191" s="585"/>
      <c r="AD1191" s="585">
        <v>2025</v>
      </c>
      <c r="AE1191" s="585">
        <v>2026</v>
      </c>
      <c r="AF1191" s="594"/>
      <c r="AG1191" s="594"/>
    </row>
    <row r="1192" spans="1:33" s="595" customFormat="1" ht="24" customHeight="1">
      <c r="A1192" s="585">
        <f t="shared" si="569"/>
        <v>97</v>
      </c>
      <c r="B1192" s="586" t="s">
        <v>1032</v>
      </c>
      <c r="C1192" s="587">
        <f t="shared" si="571"/>
        <v>2951477.1</v>
      </c>
      <c r="D1192" s="580"/>
      <c r="E1192" s="581"/>
      <c r="F1192" s="581"/>
      <c r="G1192" s="578"/>
      <c r="H1192" s="582"/>
      <c r="I1192" s="582"/>
      <c r="J1192" s="581">
        <v>1</v>
      </c>
      <c r="K1192" s="597">
        <v>2771340</v>
      </c>
      <c r="L1192" s="578"/>
      <c r="M1192" s="579"/>
      <c r="N1192" s="579"/>
      <c r="O1192" s="579"/>
      <c r="P1192" s="580"/>
      <c r="Q1192" s="580"/>
      <c r="R1192" s="581"/>
      <c r="S1192" s="582"/>
      <c r="T1192" s="582"/>
      <c r="U1192" s="582"/>
      <c r="V1192" s="583">
        <v>138567</v>
      </c>
      <c r="W1192" s="584">
        <f t="shared" ref="W1192:W1197" si="583">ROUND((D1192+F1192+G1192+H1192+I1192+K1192+L1192+M1192+O1192+P1192+Q1192+R1192+S1192)*1.5%,2)</f>
        <v>41570.1</v>
      </c>
      <c r="X1192" s="581"/>
      <c r="Y1192" s="581"/>
      <c r="Z1192" s="581"/>
      <c r="AA1192" s="581"/>
      <c r="AB1192" s="584">
        <f t="shared" si="572"/>
        <v>2951477.1</v>
      </c>
      <c r="AC1192" s="585"/>
      <c r="AD1192" s="585">
        <v>2025</v>
      </c>
      <c r="AE1192" s="585">
        <v>2026</v>
      </c>
      <c r="AF1192" s="594"/>
      <c r="AG1192" s="594"/>
    </row>
    <row r="1193" spans="1:33" s="26" customFormat="1" ht="24" customHeight="1">
      <c r="A1193" s="585">
        <f t="shared" si="569"/>
        <v>98</v>
      </c>
      <c r="B1193" s="20" t="s">
        <v>420</v>
      </c>
      <c r="C1193" s="4">
        <f t="shared" si="571"/>
        <v>30454171.399999999</v>
      </c>
      <c r="D1193" s="9"/>
      <c r="E1193" s="21"/>
      <c r="F1193" s="21"/>
      <c r="G1193" s="12"/>
      <c r="H1193" s="13"/>
      <c r="I1193" s="13"/>
      <c r="J1193" s="21"/>
      <c r="K1193" s="416"/>
      <c r="L1193" s="12"/>
      <c r="M1193" s="22"/>
      <c r="N1193" s="22"/>
      <c r="O1193" s="22"/>
      <c r="P1193" s="12">
        <v>4166351.7</v>
      </c>
      <c r="Q1193" s="12"/>
      <c r="R1193" s="24">
        <v>24429114.399999999</v>
      </c>
      <c r="S1193" s="13"/>
      <c r="T1193" s="13"/>
      <c r="U1193" s="13"/>
      <c r="V1193" s="3">
        <f>208317.59+1221455.72</f>
        <v>1429773.31</v>
      </c>
      <c r="W1193" s="24">
        <f t="shared" si="583"/>
        <v>428931.99</v>
      </c>
      <c r="X1193" s="21"/>
      <c r="Y1193" s="21"/>
      <c r="Z1193" s="24">
        <f t="shared" ref="Z1193:Z1197" si="584">C1193</f>
        <v>30454171.399999999</v>
      </c>
      <c r="AA1193" s="21"/>
      <c r="AB1193" s="24"/>
      <c r="AC1193" s="18"/>
      <c r="AD1193" s="18">
        <v>2025</v>
      </c>
      <c r="AE1193" s="18">
        <v>2025</v>
      </c>
      <c r="AF1193" s="91"/>
      <c r="AG1193" s="91"/>
    </row>
    <row r="1194" spans="1:33" s="26" customFormat="1" ht="24" customHeight="1">
      <c r="A1194" s="585">
        <f t="shared" si="569"/>
        <v>99</v>
      </c>
      <c r="B1194" s="20" t="s">
        <v>1155</v>
      </c>
      <c r="C1194" s="4">
        <f t="shared" si="571"/>
        <v>29954643.510000002</v>
      </c>
      <c r="D1194" s="9"/>
      <c r="E1194" s="21"/>
      <c r="F1194" s="21"/>
      <c r="G1194" s="12"/>
      <c r="H1194" s="13"/>
      <c r="I1194" s="13"/>
      <c r="J1194" s="21"/>
      <c r="K1194" s="416"/>
      <c r="L1194" s="12"/>
      <c r="M1194" s="22"/>
      <c r="N1194" s="22"/>
      <c r="O1194" s="22"/>
      <c r="P1194" s="12">
        <v>4098012.66</v>
      </c>
      <c r="Q1194" s="12"/>
      <c r="R1194" s="24">
        <v>24028413.170000002</v>
      </c>
      <c r="S1194" s="13"/>
      <c r="T1194" s="13"/>
      <c r="U1194" s="13"/>
      <c r="V1194" s="3">
        <f>204900.63+1201420.66</f>
        <v>1406321.29</v>
      </c>
      <c r="W1194" s="24">
        <f t="shared" si="583"/>
        <v>421896.39</v>
      </c>
      <c r="X1194" s="21"/>
      <c r="Y1194" s="21"/>
      <c r="Z1194" s="24">
        <f t="shared" si="584"/>
        <v>29954643.510000002</v>
      </c>
      <c r="AA1194" s="21"/>
      <c r="AB1194" s="24"/>
      <c r="AC1194" s="18"/>
      <c r="AD1194" s="18">
        <v>2025</v>
      </c>
      <c r="AE1194" s="18">
        <v>2025</v>
      </c>
      <c r="AF1194" s="91"/>
      <c r="AG1194" s="91"/>
    </row>
    <row r="1195" spans="1:33" s="26" customFormat="1" ht="24" customHeight="1">
      <c r="A1195" s="585">
        <f t="shared" si="569"/>
        <v>100</v>
      </c>
      <c r="B1195" s="20" t="s">
        <v>1156</v>
      </c>
      <c r="C1195" s="4">
        <f t="shared" si="571"/>
        <v>30285499.629999999</v>
      </c>
      <c r="D1195" s="9"/>
      <c r="E1195" s="21"/>
      <c r="F1195" s="21"/>
      <c r="G1195" s="12"/>
      <c r="H1195" s="13"/>
      <c r="I1195" s="13"/>
      <c r="J1195" s="21"/>
      <c r="K1195" s="416"/>
      <c r="L1195" s="12"/>
      <c r="M1195" s="22"/>
      <c r="N1195" s="22"/>
      <c r="O1195" s="22"/>
      <c r="P1195" s="12">
        <v>4143276.18</v>
      </c>
      <c r="Q1195" s="12"/>
      <c r="R1195" s="24">
        <v>24293812.68</v>
      </c>
      <c r="S1195" s="13"/>
      <c r="T1195" s="13"/>
      <c r="U1195" s="13"/>
      <c r="V1195" s="3">
        <f>207163.81+1214690.63</f>
        <v>1421854.44</v>
      </c>
      <c r="W1195" s="24">
        <f t="shared" si="583"/>
        <v>426556.33</v>
      </c>
      <c r="X1195" s="21"/>
      <c r="Y1195" s="21"/>
      <c r="Z1195" s="24">
        <f t="shared" si="584"/>
        <v>30285499.629999999</v>
      </c>
      <c r="AA1195" s="21"/>
      <c r="AB1195" s="24"/>
      <c r="AC1195" s="18"/>
      <c r="AD1195" s="18">
        <v>2025</v>
      </c>
      <c r="AE1195" s="18">
        <v>2025</v>
      </c>
      <c r="AF1195" s="91"/>
      <c r="AG1195" s="91"/>
    </row>
    <row r="1196" spans="1:33" s="26" customFormat="1" ht="24" customHeight="1">
      <c r="A1196" s="585">
        <f t="shared" si="569"/>
        <v>101</v>
      </c>
      <c r="B1196" s="20" t="s">
        <v>1157</v>
      </c>
      <c r="C1196" s="4">
        <f t="shared" si="571"/>
        <v>23289588.34</v>
      </c>
      <c r="D1196" s="9"/>
      <c r="E1196" s="21"/>
      <c r="F1196" s="21"/>
      <c r="G1196" s="12"/>
      <c r="H1196" s="13"/>
      <c r="I1196" s="13"/>
      <c r="J1196" s="21"/>
      <c r="K1196" s="416"/>
      <c r="L1196" s="12"/>
      <c r="M1196" s="22"/>
      <c r="N1196" s="22"/>
      <c r="O1196" s="22"/>
      <c r="P1196" s="12">
        <v>4317023.71</v>
      </c>
      <c r="Q1196" s="12"/>
      <c r="R1196" s="24">
        <v>17551134.350000001</v>
      </c>
      <c r="S1196" s="13"/>
      <c r="T1196" s="13"/>
      <c r="U1196" s="13"/>
      <c r="V1196" s="3">
        <f>215851.19+877556.72</f>
        <v>1093407.9099999999</v>
      </c>
      <c r="W1196" s="24">
        <f t="shared" si="583"/>
        <v>328022.37</v>
      </c>
      <c r="X1196" s="21"/>
      <c r="Y1196" s="21"/>
      <c r="Z1196" s="24">
        <f t="shared" si="584"/>
        <v>23289588.34</v>
      </c>
      <c r="AA1196" s="21"/>
      <c r="AB1196" s="24"/>
      <c r="AC1196" s="18"/>
      <c r="AD1196" s="18">
        <v>2025</v>
      </c>
      <c r="AE1196" s="18">
        <v>2025</v>
      </c>
      <c r="AF1196" s="91"/>
      <c r="AG1196" s="91"/>
    </row>
    <row r="1197" spans="1:33" s="26" customFormat="1" ht="24" customHeight="1">
      <c r="A1197" s="585">
        <f t="shared" si="569"/>
        <v>102</v>
      </c>
      <c r="B1197" s="20" t="s">
        <v>1158</v>
      </c>
      <c r="C1197" s="4">
        <f t="shared" si="571"/>
        <v>30034924.780000001</v>
      </c>
      <c r="D1197" s="9"/>
      <c r="E1197" s="21"/>
      <c r="F1197" s="21"/>
      <c r="G1197" s="12"/>
      <c r="H1197" s="13"/>
      <c r="I1197" s="13"/>
      <c r="J1197" s="21"/>
      <c r="K1197" s="416"/>
      <c r="L1197" s="12"/>
      <c r="M1197" s="22"/>
      <c r="N1197" s="22"/>
      <c r="O1197" s="22"/>
      <c r="P1197" s="12">
        <v>4108995.72</v>
      </c>
      <c r="Q1197" s="12"/>
      <c r="R1197" s="24">
        <v>24092811.579999998</v>
      </c>
      <c r="S1197" s="13"/>
      <c r="T1197" s="13"/>
      <c r="U1197" s="13"/>
      <c r="V1197" s="3">
        <f>205449.79+1204640.58</f>
        <v>1410090.37</v>
      </c>
      <c r="W1197" s="24">
        <f t="shared" si="583"/>
        <v>423027.11</v>
      </c>
      <c r="X1197" s="21"/>
      <c r="Y1197" s="21"/>
      <c r="Z1197" s="24">
        <f t="shared" si="584"/>
        <v>30034924.780000001</v>
      </c>
      <c r="AA1197" s="21"/>
      <c r="AB1197" s="24"/>
      <c r="AC1197" s="18"/>
      <c r="AD1197" s="18">
        <v>2025</v>
      </c>
      <c r="AE1197" s="18">
        <v>2025</v>
      </c>
      <c r="AF1197" s="91"/>
      <c r="AG1197" s="91"/>
    </row>
    <row r="1198" spans="1:33" s="595" customFormat="1" ht="24" customHeight="1">
      <c r="A1198" s="585">
        <f t="shared" si="569"/>
        <v>103</v>
      </c>
      <c r="B1198" s="586" t="s">
        <v>1033</v>
      </c>
      <c r="C1198" s="587">
        <f t="shared" si="571"/>
        <v>7237938.0899999999</v>
      </c>
      <c r="D1198" s="580"/>
      <c r="E1198" s="581"/>
      <c r="F1198" s="581"/>
      <c r="G1198" s="578"/>
      <c r="H1198" s="582"/>
      <c r="I1198" s="582"/>
      <c r="J1198" s="585"/>
      <c r="K1198" s="577"/>
      <c r="L1198" s="578"/>
      <c r="M1198" s="591"/>
      <c r="N1198" s="579">
        <v>2</v>
      </c>
      <c r="O1198" s="598">
        <f>3398093*N1198</f>
        <v>6796186</v>
      </c>
      <c r="P1198" s="578"/>
      <c r="Q1198" s="578"/>
      <c r="R1198" s="580"/>
      <c r="S1198" s="580"/>
      <c r="T1198" s="580"/>
      <c r="U1198" s="580"/>
      <c r="V1198" s="583">
        <v>339809.3</v>
      </c>
      <c r="W1198" s="584">
        <v>101942.79</v>
      </c>
      <c r="X1198" s="581"/>
      <c r="Y1198" s="581"/>
      <c r="Z1198" s="581"/>
      <c r="AA1198" s="581"/>
      <c r="AB1198" s="584">
        <f t="shared" si="572"/>
        <v>7237938.0899999999</v>
      </c>
      <c r="AC1198" s="585"/>
      <c r="AD1198" s="585">
        <v>2025</v>
      </c>
      <c r="AE1198" s="585">
        <v>2026</v>
      </c>
      <c r="AF1198" s="594"/>
      <c r="AG1198" s="594"/>
    </row>
    <row r="1199" spans="1:33" s="595" customFormat="1" ht="24" customHeight="1">
      <c r="A1199" s="585">
        <f t="shared" si="569"/>
        <v>104</v>
      </c>
      <c r="B1199" s="586" t="s">
        <v>1034</v>
      </c>
      <c r="C1199" s="587">
        <f t="shared" si="571"/>
        <v>7699915.9199999999</v>
      </c>
      <c r="D1199" s="580"/>
      <c r="E1199" s="581"/>
      <c r="F1199" s="581"/>
      <c r="G1199" s="578"/>
      <c r="H1199" s="582"/>
      <c r="I1199" s="582"/>
      <c r="J1199" s="585"/>
      <c r="K1199" s="577"/>
      <c r="L1199" s="578"/>
      <c r="M1199" s="591"/>
      <c r="N1199" s="579">
        <v>2</v>
      </c>
      <c r="O1199" s="598">
        <f>3614984*N1199</f>
        <v>7229968</v>
      </c>
      <c r="P1199" s="578"/>
      <c r="Q1199" s="578"/>
      <c r="R1199" s="580"/>
      <c r="S1199" s="580"/>
      <c r="T1199" s="580"/>
      <c r="U1199" s="580"/>
      <c r="V1199" s="583">
        <v>361498.4</v>
      </c>
      <c r="W1199" s="584">
        <v>108449.52</v>
      </c>
      <c r="X1199" s="581"/>
      <c r="Y1199" s="581"/>
      <c r="Z1199" s="581"/>
      <c r="AA1199" s="581"/>
      <c r="AB1199" s="584">
        <f t="shared" si="572"/>
        <v>7699915.9199999999</v>
      </c>
      <c r="AC1199" s="585"/>
      <c r="AD1199" s="585">
        <v>2025</v>
      </c>
      <c r="AE1199" s="585">
        <v>2026</v>
      </c>
      <c r="AF1199" s="594"/>
      <c r="AG1199" s="594"/>
    </row>
    <row r="1200" spans="1:33" s="26" customFormat="1" ht="24" customHeight="1">
      <c r="A1200" s="585">
        <f t="shared" si="569"/>
        <v>105</v>
      </c>
      <c r="B1200" s="20" t="s">
        <v>1133</v>
      </c>
      <c r="C1200" s="4">
        <f t="shared" si="571"/>
        <v>15336000</v>
      </c>
      <c r="D1200" s="9"/>
      <c r="E1200" s="21"/>
      <c r="F1200" s="21"/>
      <c r="G1200" s="12"/>
      <c r="H1200" s="13"/>
      <c r="I1200" s="13"/>
      <c r="J1200" s="18"/>
      <c r="K1200" s="645"/>
      <c r="L1200" s="12"/>
      <c r="M1200" s="22"/>
      <c r="N1200" s="657">
        <v>4</v>
      </c>
      <c r="O1200" s="46">
        <f>3600000*N1200</f>
        <v>14400000</v>
      </c>
      <c r="P1200" s="22"/>
      <c r="Q1200" s="12"/>
      <c r="R1200" s="9"/>
      <c r="S1200" s="9"/>
      <c r="T1200" s="9"/>
      <c r="U1200" s="9"/>
      <c r="V1200" s="3">
        <v>720000</v>
      </c>
      <c r="W1200" s="24">
        <v>216000</v>
      </c>
      <c r="X1200" s="21"/>
      <c r="Y1200" s="21"/>
      <c r="Z1200" s="24">
        <f>C1200</f>
        <v>15336000</v>
      </c>
      <c r="AA1200" s="21"/>
      <c r="AB1200" s="24"/>
      <c r="AC1200" s="18"/>
      <c r="AD1200" s="18">
        <v>2025</v>
      </c>
      <c r="AE1200" s="18">
        <v>2025</v>
      </c>
      <c r="AF1200" s="91"/>
      <c r="AG1200" s="91"/>
    </row>
    <row r="1201" spans="1:33" s="26" customFormat="1" ht="24" customHeight="1">
      <c r="A1201" s="585">
        <f t="shared" si="569"/>
        <v>106</v>
      </c>
      <c r="B1201" s="20" t="s">
        <v>1134</v>
      </c>
      <c r="C1201" s="4">
        <f t="shared" si="571"/>
        <v>3834000</v>
      </c>
      <c r="D1201" s="9"/>
      <c r="E1201" s="21"/>
      <c r="F1201" s="21"/>
      <c r="G1201" s="12"/>
      <c r="H1201" s="13"/>
      <c r="I1201" s="13"/>
      <c r="J1201" s="18"/>
      <c r="K1201" s="645"/>
      <c r="L1201" s="12"/>
      <c r="M1201" s="22"/>
      <c r="N1201" s="657">
        <v>1</v>
      </c>
      <c r="O1201" s="46">
        <f>3600000*N1201</f>
        <v>3600000</v>
      </c>
      <c r="P1201" s="22"/>
      <c r="Q1201" s="12"/>
      <c r="R1201" s="9"/>
      <c r="S1201" s="9"/>
      <c r="T1201" s="9"/>
      <c r="U1201" s="9"/>
      <c r="V1201" s="3">
        <v>180000</v>
      </c>
      <c r="W1201" s="24">
        <v>54000</v>
      </c>
      <c r="X1201" s="21"/>
      <c r="Y1201" s="21"/>
      <c r="Z1201" s="24">
        <f>C1201</f>
        <v>3834000</v>
      </c>
      <c r="AA1201" s="21"/>
      <c r="AB1201" s="24"/>
      <c r="AC1201" s="18"/>
      <c r="AD1201" s="18">
        <v>2025</v>
      </c>
      <c r="AE1201" s="18">
        <v>2025</v>
      </c>
      <c r="AF1201" s="91"/>
      <c r="AG1201" s="91"/>
    </row>
    <row r="1202" spans="1:33" s="26" customFormat="1" ht="24" customHeight="1">
      <c r="A1202" s="585">
        <f t="shared" si="569"/>
        <v>107</v>
      </c>
      <c r="B1202" s="20" t="s">
        <v>1135</v>
      </c>
      <c r="C1202" s="4">
        <f t="shared" si="571"/>
        <v>3834000</v>
      </c>
      <c r="D1202" s="9"/>
      <c r="E1202" s="21"/>
      <c r="F1202" s="21"/>
      <c r="G1202" s="12"/>
      <c r="H1202" s="13"/>
      <c r="I1202" s="13"/>
      <c r="J1202" s="18"/>
      <c r="K1202" s="645"/>
      <c r="L1202" s="12"/>
      <c r="M1202" s="22"/>
      <c r="N1202" s="657">
        <v>1</v>
      </c>
      <c r="O1202" s="46">
        <f t="shared" ref="O1202:O1205" si="585">3600000*N1202</f>
        <v>3600000</v>
      </c>
      <c r="P1202" s="22"/>
      <c r="Q1202" s="12"/>
      <c r="R1202" s="9"/>
      <c r="S1202" s="9"/>
      <c r="T1202" s="9"/>
      <c r="U1202" s="9"/>
      <c r="V1202" s="3">
        <v>180000</v>
      </c>
      <c r="W1202" s="24">
        <v>54000</v>
      </c>
      <c r="X1202" s="21"/>
      <c r="Y1202" s="21"/>
      <c r="Z1202" s="24">
        <f t="shared" ref="Z1202:Z1205" si="586">C1202</f>
        <v>3834000</v>
      </c>
      <c r="AA1202" s="21"/>
      <c r="AB1202" s="24"/>
      <c r="AC1202" s="18"/>
      <c r="AD1202" s="18">
        <v>2025</v>
      </c>
      <c r="AE1202" s="18">
        <v>2025</v>
      </c>
      <c r="AF1202" s="91"/>
      <c r="AG1202" s="91"/>
    </row>
    <row r="1203" spans="1:33" s="26" customFormat="1" ht="24" customHeight="1">
      <c r="A1203" s="585">
        <f t="shared" si="569"/>
        <v>108</v>
      </c>
      <c r="B1203" s="20" t="s">
        <v>1136</v>
      </c>
      <c r="C1203" s="4">
        <f t="shared" si="571"/>
        <v>3834000</v>
      </c>
      <c r="D1203" s="9"/>
      <c r="E1203" s="21"/>
      <c r="F1203" s="21"/>
      <c r="G1203" s="12"/>
      <c r="H1203" s="13"/>
      <c r="I1203" s="13"/>
      <c r="J1203" s="18"/>
      <c r="K1203" s="645"/>
      <c r="L1203" s="12"/>
      <c r="M1203" s="22"/>
      <c r="N1203" s="657">
        <v>1</v>
      </c>
      <c r="O1203" s="46">
        <f t="shared" si="585"/>
        <v>3600000</v>
      </c>
      <c r="P1203" s="22"/>
      <c r="Q1203" s="12"/>
      <c r="R1203" s="9"/>
      <c r="S1203" s="9"/>
      <c r="T1203" s="9"/>
      <c r="U1203" s="9"/>
      <c r="V1203" s="3">
        <v>180000</v>
      </c>
      <c r="W1203" s="24">
        <v>54000</v>
      </c>
      <c r="X1203" s="21"/>
      <c r="Y1203" s="21"/>
      <c r="Z1203" s="24">
        <f t="shared" si="586"/>
        <v>3834000</v>
      </c>
      <c r="AA1203" s="21"/>
      <c r="AB1203" s="24"/>
      <c r="AC1203" s="18"/>
      <c r="AD1203" s="18">
        <v>2025</v>
      </c>
      <c r="AE1203" s="18">
        <v>2025</v>
      </c>
      <c r="AF1203" s="91"/>
      <c r="AG1203" s="91"/>
    </row>
    <row r="1204" spans="1:33" s="26" customFormat="1" ht="24" customHeight="1">
      <c r="A1204" s="585">
        <f t="shared" si="569"/>
        <v>109</v>
      </c>
      <c r="B1204" s="20" t="s">
        <v>1137</v>
      </c>
      <c r="C1204" s="4">
        <f t="shared" si="571"/>
        <v>3834000</v>
      </c>
      <c r="D1204" s="9"/>
      <c r="E1204" s="21"/>
      <c r="F1204" s="21"/>
      <c r="G1204" s="12"/>
      <c r="H1204" s="13"/>
      <c r="I1204" s="13"/>
      <c r="J1204" s="18"/>
      <c r="K1204" s="645"/>
      <c r="L1204" s="12"/>
      <c r="M1204" s="22"/>
      <c r="N1204" s="657">
        <v>1</v>
      </c>
      <c r="O1204" s="46">
        <f t="shared" si="585"/>
        <v>3600000</v>
      </c>
      <c r="P1204" s="22"/>
      <c r="Q1204" s="12"/>
      <c r="R1204" s="9"/>
      <c r="S1204" s="9"/>
      <c r="T1204" s="9"/>
      <c r="U1204" s="9"/>
      <c r="V1204" s="3">
        <v>180000</v>
      </c>
      <c r="W1204" s="24">
        <v>54000</v>
      </c>
      <c r="X1204" s="21"/>
      <c r="Y1204" s="21"/>
      <c r="Z1204" s="24">
        <f t="shared" si="586"/>
        <v>3834000</v>
      </c>
      <c r="AA1204" s="21"/>
      <c r="AB1204" s="24"/>
      <c r="AC1204" s="18"/>
      <c r="AD1204" s="18">
        <v>2025</v>
      </c>
      <c r="AE1204" s="18">
        <v>2025</v>
      </c>
      <c r="AF1204" s="91"/>
      <c r="AG1204" s="91"/>
    </row>
    <row r="1205" spans="1:33" s="26" customFormat="1" ht="24" customHeight="1">
      <c r="A1205" s="585">
        <f t="shared" si="569"/>
        <v>110</v>
      </c>
      <c r="B1205" s="20" t="s">
        <v>1138</v>
      </c>
      <c r="C1205" s="4">
        <f t="shared" si="571"/>
        <v>3834000</v>
      </c>
      <c r="D1205" s="9"/>
      <c r="E1205" s="21"/>
      <c r="F1205" s="21"/>
      <c r="G1205" s="12"/>
      <c r="H1205" s="13"/>
      <c r="I1205" s="13"/>
      <c r="J1205" s="18"/>
      <c r="K1205" s="645"/>
      <c r="L1205" s="12"/>
      <c r="M1205" s="22"/>
      <c r="N1205" s="657">
        <v>1</v>
      </c>
      <c r="O1205" s="46">
        <f t="shared" si="585"/>
        <v>3600000</v>
      </c>
      <c r="P1205" s="22"/>
      <c r="Q1205" s="12"/>
      <c r="R1205" s="9"/>
      <c r="S1205" s="9"/>
      <c r="T1205" s="9"/>
      <c r="U1205" s="9"/>
      <c r="V1205" s="3">
        <v>180000</v>
      </c>
      <c r="W1205" s="24">
        <v>54000</v>
      </c>
      <c r="X1205" s="21"/>
      <c r="Y1205" s="21"/>
      <c r="Z1205" s="24">
        <f t="shared" si="586"/>
        <v>3834000</v>
      </c>
      <c r="AA1205" s="21"/>
      <c r="AB1205" s="24"/>
      <c r="AC1205" s="18"/>
      <c r="AD1205" s="18">
        <v>2025</v>
      </c>
      <c r="AE1205" s="18">
        <v>2025</v>
      </c>
      <c r="AF1205" s="91"/>
      <c r="AG1205" s="91"/>
    </row>
    <row r="1206" spans="1:33" s="26" customFormat="1" ht="24" customHeight="1">
      <c r="A1206" s="585">
        <f t="shared" si="569"/>
        <v>111</v>
      </c>
      <c r="B1206" s="20" t="s">
        <v>1139</v>
      </c>
      <c r="C1206" s="4">
        <f t="shared" si="571"/>
        <v>7668000</v>
      </c>
      <c r="D1206" s="9"/>
      <c r="E1206" s="21"/>
      <c r="F1206" s="21"/>
      <c r="G1206" s="12"/>
      <c r="H1206" s="13"/>
      <c r="I1206" s="13"/>
      <c r="J1206" s="18"/>
      <c r="K1206" s="645"/>
      <c r="L1206" s="12"/>
      <c r="M1206" s="22"/>
      <c r="N1206" s="657">
        <v>2</v>
      </c>
      <c r="O1206" s="46">
        <f>3600000*N1206</f>
        <v>7200000</v>
      </c>
      <c r="P1206" s="22"/>
      <c r="Q1206" s="12"/>
      <c r="R1206" s="9"/>
      <c r="S1206" s="9"/>
      <c r="T1206" s="9"/>
      <c r="U1206" s="9"/>
      <c r="V1206" s="3">
        <v>360000</v>
      </c>
      <c r="W1206" s="24">
        <v>108000</v>
      </c>
      <c r="X1206" s="21"/>
      <c r="Y1206" s="21"/>
      <c r="Z1206" s="24">
        <f>C1206</f>
        <v>7668000</v>
      </c>
      <c r="AA1206" s="21"/>
      <c r="AB1206" s="24"/>
      <c r="AC1206" s="18"/>
      <c r="AD1206" s="18">
        <v>2025</v>
      </c>
      <c r="AE1206" s="18">
        <v>2025</v>
      </c>
      <c r="AF1206" s="91"/>
      <c r="AG1206" s="91"/>
    </row>
    <row r="1207" spans="1:33" s="595" customFormat="1" ht="24" customHeight="1">
      <c r="A1207" s="585">
        <f t="shared" si="569"/>
        <v>112</v>
      </c>
      <c r="B1207" s="586" t="s">
        <v>1035</v>
      </c>
      <c r="C1207" s="587">
        <f t="shared" si="571"/>
        <v>3849957.96</v>
      </c>
      <c r="D1207" s="580"/>
      <c r="E1207" s="581"/>
      <c r="F1207" s="581"/>
      <c r="G1207" s="578"/>
      <c r="H1207" s="582"/>
      <c r="I1207" s="582"/>
      <c r="J1207" s="585"/>
      <c r="K1207" s="577"/>
      <c r="L1207" s="578"/>
      <c r="M1207" s="591"/>
      <c r="N1207" s="579">
        <v>1</v>
      </c>
      <c r="O1207" s="598">
        <f>3614984*N1207</f>
        <v>3614984</v>
      </c>
      <c r="P1207" s="578"/>
      <c r="Q1207" s="578"/>
      <c r="R1207" s="580"/>
      <c r="S1207" s="580"/>
      <c r="T1207" s="580"/>
      <c r="U1207" s="580"/>
      <c r="V1207" s="583">
        <v>180749.2</v>
      </c>
      <c r="W1207" s="584">
        <v>54224.76</v>
      </c>
      <c r="X1207" s="581"/>
      <c r="Y1207" s="581"/>
      <c r="Z1207" s="581"/>
      <c r="AA1207" s="581"/>
      <c r="AB1207" s="584">
        <f t="shared" si="572"/>
        <v>3849957.96</v>
      </c>
      <c r="AC1207" s="585"/>
      <c r="AD1207" s="585">
        <v>2025</v>
      </c>
      <c r="AE1207" s="585">
        <v>2026</v>
      </c>
      <c r="AF1207" s="594"/>
      <c r="AG1207" s="594"/>
    </row>
    <row r="1208" spans="1:33" s="595" customFormat="1" ht="24" customHeight="1">
      <c r="A1208" s="585">
        <f t="shared" si="569"/>
        <v>113</v>
      </c>
      <c r="B1208" s="586" t="s">
        <v>1036</v>
      </c>
      <c r="C1208" s="587">
        <f t="shared" si="571"/>
        <v>7699915.9199999999</v>
      </c>
      <c r="D1208" s="580"/>
      <c r="E1208" s="581"/>
      <c r="F1208" s="581"/>
      <c r="G1208" s="578"/>
      <c r="H1208" s="582"/>
      <c r="I1208" s="582"/>
      <c r="J1208" s="585"/>
      <c r="K1208" s="577"/>
      <c r="L1208" s="578"/>
      <c r="M1208" s="591"/>
      <c r="N1208" s="579">
        <v>2</v>
      </c>
      <c r="O1208" s="598">
        <f>3614984*N1208</f>
        <v>7229968</v>
      </c>
      <c r="P1208" s="578"/>
      <c r="Q1208" s="578"/>
      <c r="R1208" s="580"/>
      <c r="S1208" s="580"/>
      <c r="T1208" s="580"/>
      <c r="U1208" s="580"/>
      <c r="V1208" s="583">
        <v>361498.4</v>
      </c>
      <c r="W1208" s="584">
        <v>108449.52</v>
      </c>
      <c r="X1208" s="581"/>
      <c r="Y1208" s="581"/>
      <c r="Z1208" s="581"/>
      <c r="AA1208" s="581"/>
      <c r="AB1208" s="584">
        <f t="shared" si="572"/>
        <v>7699915.9199999999</v>
      </c>
      <c r="AC1208" s="585"/>
      <c r="AD1208" s="585">
        <v>2025</v>
      </c>
      <c r="AE1208" s="585">
        <v>2026</v>
      </c>
      <c r="AF1208" s="594"/>
      <c r="AG1208" s="594"/>
    </row>
    <row r="1209" spans="1:33" s="595" customFormat="1" ht="24" customHeight="1">
      <c r="A1209" s="585">
        <f t="shared" si="569"/>
        <v>114</v>
      </c>
      <c r="B1209" s="586" t="s">
        <v>1037</v>
      </c>
      <c r="C1209" s="587">
        <f t="shared" si="571"/>
        <v>10266553.140000001</v>
      </c>
      <c r="D1209" s="580"/>
      <c r="E1209" s="581"/>
      <c r="F1209" s="581"/>
      <c r="G1209" s="578"/>
      <c r="H1209" s="582"/>
      <c r="I1209" s="582"/>
      <c r="J1209" s="585"/>
      <c r="K1209" s="577"/>
      <c r="L1209" s="578"/>
      <c r="M1209" s="591"/>
      <c r="N1209" s="579">
        <v>2</v>
      </c>
      <c r="O1209" s="598">
        <f>4819978*N1209</f>
        <v>9639956</v>
      </c>
      <c r="P1209" s="578"/>
      <c r="Q1209" s="578"/>
      <c r="R1209" s="580"/>
      <c r="S1209" s="580"/>
      <c r="T1209" s="580"/>
      <c r="U1209" s="580"/>
      <c r="V1209" s="583">
        <v>481997.8</v>
      </c>
      <c r="W1209" s="584">
        <v>144599.34</v>
      </c>
      <c r="X1209" s="581"/>
      <c r="Y1209" s="581"/>
      <c r="Z1209" s="581"/>
      <c r="AA1209" s="581"/>
      <c r="AB1209" s="584">
        <f t="shared" si="572"/>
        <v>10266553.140000001</v>
      </c>
      <c r="AC1209" s="585"/>
      <c r="AD1209" s="585">
        <v>2025</v>
      </c>
      <c r="AE1209" s="585">
        <v>2026</v>
      </c>
      <c r="AF1209" s="594"/>
      <c r="AG1209" s="594"/>
    </row>
    <row r="1210" spans="1:33" s="595" customFormat="1" ht="24" customHeight="1">
      <c r="A1210" s="585">
        <f t="shared" si="569"/>
        <v>115</v>
      </c>
      <c r="B1210" s="586" t="s">
        <v>79</v>
      </c>
      <c r="C1210" s="587">
        <f t="shared" si="571"/>
        <v>4812478.24</v>
      </c>
      <c r="D1210" s="580"/>
      <c r="E1210" s="640">
        <v>1</v>
      </c>
      <c r="F1210" s="589">
        <v>1612809</v>
      </c>
      <c r="G1210" s="578"/>
      <c r="H1210" s="582"/>
      <c r="I1210" s="582"/>
      <c r="J1210" s="581">
        <v>1</v>
      </c>
      <c r="K1210" s="597">
        <v>2771340</v>
      </c>
      <c r="L1210" s="578"/>
      <c r="M1210" s="579"/>
      <c r="N1210" s="579"/>
      <c r="O1210" s="579"/>
      <c r="P1210" s="580"/>
      <c r="Q1210" s="580"/>
      <c r="R1210" s="581"/>
      <c r="S1210" s="582"/>
      <c r="T1210" s="582"/>
      <c r="U1210" s="582"/>
      <c r="V1210" s="583">
        <f>138567+224000</f>
        <v>362567</v>
      </c>
      <c r="W1210" s="584">
        <f t="shared" ref="W1210" si="587">ROUND((D1210+F1210+G1210+H1210+I1210+K1210+L1210+M1210+O1210+P1210+Q1210+R1210+S1210)*1.5%,2)</f>
        <v>65762.240000000005</v>
      </c>
      <c r="X1210" s="581"/>
      <c r="Y1210" s="581"/>
      <c r="Z1210" s="581"/>
      <c r="AA1210" s="581"/>
      <c r="AB1210" s="584">
        <f t="shared" si="572"/>
        <v>4812478.24</v>
      </c>
      <c r="AC1210" s="585"/>
      <c r="AD1210" s="585">
        <v>2025</v>
      </c>
      <c r="AE1210" s="585">
        <v>2026</v>
      </c>
      <c r="AF1210" s="594"/>
      <c r="AG1210" s="594"/>
    </row>
    <row r="1211" spans="1:33" s="595" customFormat="1" ht="24" customHeight="1">
      <c r="A1211" s="585">
        <f t="shared" si="569"/>
        <v>116</v>
      </c>
      <c r="B1211" s="586" t="s">
        <v>1038</v>
      </c>
      <c r="C1211" s="587">
        <f t="shared" si="571"/>
        <v>3849957.96</v>
      </c>
      <c r="D1211" s="580"/>
      <c r="E1211" s="581"/>
      <c r="F1211" s="581"/>
      <c r="G1211" s="578"/>
      <c r="H1211" s="582"/>
      <c r="I1211" s="582"/>
      <c r="J1211" s="585"/>
      <c r="K1211" s="577"/>
      <c r="L1211" s="578"/>
      <c r="M1211" s="591"/>
      <c r="N1211" s="579">
        <v>1</v>
      </c>
      <c r="O1211" s="598">
        <f>3614984*N1211</f>
        <v>3614984</v>
      </c>
      <c r="P1211" s="578"/>
      <c r="Q1211" s="578"/>
      <c r="R1211" s="580"/>
      <c r="S1211" s="580"/>
      <c r="T1211" s="580"/>
      <c r="U1211" s="580"/>
      <c r="V1211" s="583">
        <v>180749.2</v>
      </c>
      <c r="W1211" s="584">
        <v>54224.76</v>
      </c>
      <c r="X1211" s="581"/>
      <c r="Y1211" s="581"/>
      <c r="Z1211" s="581"/>
      <c r="AA1211" s="581"/>
      <c r="AB1211" s="584">
        <f t="shared" si="572"/>
        <v>3849957.96</v>
      </c>
      <c r="AC1211" s="585"/>
      <c r="AD1211" s="585">
        <v>2025</v>
      </c>
      <c r="AE1211" s="585">
        <v>2026</v>
      </c>
      <c r="AF1211" s="594"/>
      <c r="AG1211" s="594"/>
    </row>
    <row r="1212" spans="1:33" s="595" customFormat="1" ht="24" customHeight="1">
      <c r="A1212" s="585">
        <f t="shared" si="569"/>
        <v>117</v>
      </c>
      <c r="B1212" s="586" t="s">
        <v>1039</v>
      </c>
      <c r="C1212" s="587">
        <f t="shared" si="571"/>
        <v>7699915.9199999999</v>
      </c>
      <c r="D1212" s="580"/>
      <c r="E1212" s="581"/>
      <c r="F1212" s="581"/>
      <c r="G1212" s="578"/>
      <c r="H1212" s="582"/>
      <c r="I1212" s="582"/>
      <c r="J1212" s="585"/>
      <c r="K1212" s="577"/>
      <c r="L1212" s="578"/>
      <c r="M1212" s="591"/>
      <c r="N1212" s="579">
        <v>2</v>
      </c>
      <c r="O1212" s="598">
        <f>3614984*N1212</f>
        <v>7229968</v>
      </c>
      <c r="P1212" s="578"/>
      <c r="Q1212" s="578"/>
      <c r="R1212" s="580"/>
      <c r="S1212" s="580"/>
      <c r="T1212" s="580"/>
      <c r="U1212" s="580"/>
      <c r="V1212" s="583">
        <v>361498.4</v>
      </c>
      <c r="W1212" s="584">
        <v>108449.52</v>
      </c>
      <c r="X1212" s="581"/>
      <c r="Y1212" s="581"/>
      <c r="Z1212" s="581"/>
      <c r="AA1212" s="581"/>
      <c r="AB1212" s="584">
        <f t="shared" si="572"/>
        <v>7699915.9199999999</v>
      </c>
      <c r="AC1212" s="585"/>
      <c r="AD1212" s="585">
        <v>2025</v>
      </c>
      <c r="AE1212" s="585">
        <v>2026</v>
      </c>
      <c r="AF1212" s="594"/>
      <c r="AG1212" s="594"/>
    </row>
    <row r="1213" spans="1:33" s="595" customFormat="1" ht="24" customHeight="1">
      <c r="A1213" s="585">
        <f t="shared" si="569"/>
        <v>118</v>
      </c>
      <c r="B1213" s="586" t="s">
        <v>1040</v>
      </c>
      <c r="C1213" s="587">
        <f t="shared" si="571"/>
        <v>23099747.760000002</v>
      </c>
      <c r="D1213" s="580"/>
      <c r="E1213" s="581"/>
      <c r="F1213" s="581"/>
      <c r="G1213" s="578"/>
      <c r="H1213" s="582"/>
      <c r="I1213" s="582"/>
      <c r="J1213" s="585"/>
      <c r="K1213" s="577"/>
      <c r="L1213" s="578"/>
      <c r="M1213" s="591"/>
      <c r="N1213" s="579">
        <v>6</v>
      </c>
      <c r="O1213" s="598">
        <f>3614984*N1213</f>
        <v>21689904</v>
      </c>
      <c r="P1213" s="578"/>
      <c r="Q1213" s="578"/>
      <c r="R1213" s="580"/>
      <c r="S1213" s="580"/>
      <c r="T1213" s="580"/>
      <c r="U1213" s="580"/>
      <c r="V1213" s="583">
        <v>1084495.2</v>
      </c>
      <c r="W1213" s="584">
        <v>325348.56</v>
      </c>
      <c r="X1213" s="581"/>
      <c r="Y1213" s="581"/>
      <c r="Z1213" s="581"/>
      <c r="AA1213" s="581"/>
      <c r="AB1213" s="584">
        <f t="shared" si="572"/>
        <v>23099747.760000002</v>
      </c>
      <c r="AC1213" s="585"/>
      <c r="AD1213" s="585">
        <v>2025</v>
      </c>
      <c r="AE1213" s="585">
        <v>2026</v>
      </c>
      <c r="AF1213" s="594"/>
      <c r="AG1213" s="594"/>
    </row>
    <row r="1214" spans="1:33" s="26" customFormat="1" ht="24" customHeight="1">
      <c r="A1214" s="585">
        <f t="shared" si="569"/>
        <v>119</v>
      </c>
      <c r="B1214" s="20" t="s">
        <v>1159</v>
      </c>
      <c r="C1214" s="4">
        <f t="shared" si="571"/>
        <v>36096689.859999999</v>
      </c>
      <c r="D1214" s="9"/>
      <c r="E1214" s="21"/>
      <c r="F1214" s="21"/>
      <c r="G1214" s="12"/>
      <c r="H1214" s="13"/>
      <c r="I1214" s="13"/>
      <c r="J1214" s="18"/>
      <c r="K1214" s="645"/>
      <c r="L1214" s="12"/>
      <c r="M1214" s="711"/>
      <c r="N1214" s="22"/>
      <c r="O1214" s="46"/>
      <c r="P1214" s="12">
        <v>14577615.07</v>
      </c>
      <c r="Q1214" s="12"/>
      <c r="R1214" s="9">
        <v>19315990.440000001</v>
      </c>
      <c r="S1214" s="9"/>
      <c r="T1214" s="9"/>
      <c r="U1214" s="9"/>
      <c r="V1214" s="3">
        <f>728880.75+965799.52</f>
        <v>1694680.27</v>
      </c>
      <c r="W1214" s="24">
        <f t="shared" ref="W1214" si="588">ROUND((D1214+F1214+G1214+H1214+I1214+L1214+M1214+O1214+P1214+Q1214+R1214+S1214)*1.5%,2)</f>
        <v>508404.08</v>
      </c>
      <c r="X1214" s="21"/>
      <c r="Y1214" s="21"/>
      <c r="Z1214" s="24">
        <f>C1214</f>
        <v>36096689.859999999</v>
      </c>
      <c r="AA1214" s="21"/>
      <c r="AB1214" s="24"/>
      <c r="AC1214" s="18"/>
      <c r="AD1214" s="18">
        <v>2025</v>
      </c>
      <c r="AE1214" s="18">
        <v>2025</v>
      </c>
      <c r="AF1214" s="91"/>
      <c r="AG1214" s="91"/>
    </row>
    <row r="1215" spans="1:33" s="595" customFormat="1" ht="24" customHeight="1">
      <c r="A1215" s="585">
        <f t="shared" si="569"/>
        <v>120</v>
      </c>
      <c r="B1215" s="20" t="s">
        <v>282</v>
      </c>
      <c r="C1215" s="4">
        <f t="shared" si="571"/>
        <v>24594344.440000001</v>
      </c>
      <c r="D1215" s="9">
        <f>ROUND(3955.5*660.21,2)</f>
        <v>2611460.66</v>
      </c>
      <c r="E1215" s="21"/>
      <c r="F1215" s="21"/>
      <c r="G1215" s="12">
        <f>ROUND(3955.5*620.83,2)</f>
        <v>2455693.0699999998</v>
      </c>
      <c r="H1215" s="13">
        <f>ROUND(3955.5*665.62,2)</f>
        <v>2632859.91</v>
      </c>
      <c r="I1215" s="13">
        <f>ROUND(3955.5*3201.73,2)</f>
        <v>12664443.02</v>
      </c>
      <c r="J1215" s="18"/>
      <c r="K1215" s="7"/>
      <c r="L1215" s="12">
        <f>ROUND(3955.5*616.25,2)</f>
        <v>2437576.88</v>
      </c>
      <c r="M1215" s="22"/>
      <c r="N1215" s="22"/>
      <c r="O1215" s="22"/>
      <c r="P1215" s="22"/>
      <c r="Q1215" s="12"/>
      <c r="R1215" s="9"/>
      <c r="S1215" s="9"/>
      <c r="T1215" s="108"/>
      <c r="U1215" s="108"/>
      <c r="V1215" s="3">
        <v>1450280.4</v>
      </c>
      <c r="W1215" s="24">
        <f t="shared" si="574"/>
        <v>342030.5</v>
      </c>
      <c r="X1215" s="21"/>
      <c r="Y1215" s="21"/>
      <c r="Z1215" s="21"/>
      <c r="AA1215" s="21"/>
      <c r="AB1215" s="24">
        <f t="shared" si="572"/>
        <v>24594344.440000001</v>
      </c>
      <c r="AC1215" s="18"/>
      <c r="AD1215" s="18">
        <v>2025</v>
      </c>
      <c r="AE1215" s="18">
        <v>2025</v>
      </c>
      <c r="AF1215" s="596"/>
      <c r="AG1215" s="594"/>
    </row>
    <row r="1216" spans="1:33" s="595" customFormat="1" ht="24" customHeight="1">
      <c r="A1216" s="585">
        <f t="shared" si="569"/>
        <v>121</v>
      </c>
      <c r="B1216" s="586" t="s">
        <v>1041</v>
      </c>
      <c r="C1216" s="587">
        <f t="shared" si="571"/>
        <v>3618969.05</v>
      </c>
      <c r="D1216" s="580"/>
      <c r="E1216" s="581"/>
      <c r="F1216" s="581"/>
      <c r="G1216" s="578"/>
      <c r="H1216" s="582"/>
      <c r="I1216" s="582"/>
      <c r="J1216" s="585"/>
      <c r="K1216" s="577"/>
      <c r="L1216" s="578"/>
      <c r="M1216" s="579"/>
      <c r="N1216" s="579">
        <v>1</v>
      </c>
      <c r="O1216" s="598">
        <v>3398093</v>
      </c>
      <c r="P1216" s="579"/>
      <c r="Q1216" s="578"/>
      <c r="R1216" s="580"/>
      <c r="S1216" s="580"/>
      <c r="T1216" s="580"/>
      <c r="U1216" s="580"/>
      <c r="V1216" s="583">
        <v>169904.65</v>
      </c>
      <c r="W1216" s="584">
        <v>50971.4</v>
      </c>
      <c r="X1216" s="581"/>
      <c r="Y1216" s="581"/>
      <c r="Z1216" s="581"/>
      <c r="AA1216" s="581"/>
      <c r="AB1216" s="584">
        <f t="shared" si="572"/>
        <v>3618969.05</v>
      </c>
      <c r="AC1216" s="585"/>
      <c r="AD1216" s="585">
        <v>2025</v>
      </c>
      <c r="AE1216" s="585">
        <v>2026</v>
      </c>
      <c r="AF1216" s="594"/>
      <c r="AG1216" s="594"/>
    </row>
    <row r="1217" spans="1:33" s="595" customFormat="1" ht="24" customHeight="1">
      <c r="A1217" s="585">
        <f t="shared" si="569"/>
        <v>122</v>
      </c>
      <c r="B1217" s="523" t="s">
        <v>874</v>
      </c>
      <c r="C1217" s="521">
        <f t="shared" si="571"/>
        <v>339834.11</v>
      </c>
      <c r="D1217" s="516"/>
      <c r="E1217" s="519"/>
      <c r="F1217" s="519"/>
      <c r="G1217" s="514"/>
      <c r="H1217" s="522"/>
      <c r="I1217" s="522"/>
      <c r="J1217" s="520"/>
      <c r="K1217" s="513"/>
      <c r="L1217" s="514"/>
      <c r="M1217" s="515"/>
      <c r="N1217" s="515"/>
      <c r="O1217" s="515"/>
      <c r="P1217" s="515"/>
      <c r="Q1217" s="514"/>
      <c r="R1217" s="524">
        <v>339834.11</v>
      </c>
      <c r="S1217" s="516"/>
      <c r="T1217" s="516"/>
      <c r="U1217" s="516"/>
      <c r="V1217" s="517"/>
      <c r="W1217" s="518"/>
      <c r="X1217" s="519"/>
      <c r="Y1217" s="519"/>
      <c r="Z1217" s="518">
        <f>C1217</f>
        <v>339834.11</v>
      </c>
      <c r="AA1217" s="519"/>
      <c r="AB1217" s="518"/>
      <c r="AC1217" s="520"/>
      <c r="AD1217" s="520">
        <v>2025</v>
      </c>
      <c r="AE1217" s="520">
        <v>2025</v>
      </c>
      <c r="AF1217" s="594"/>
      <c r="AG1217" s="594"/>
    </row>
    <row r="1218" spans="1:33" s="595" customFormat="1" ht="24" customHeight="1">
      <c r="A1218" s="585">
        <f t="shared" si="569"/>
        <v>123</v>
      </c>
      <c r="B1218" s="523" t="s">
        <v>209</v>
      </c>
      <c r="C1218" s="521">
        <f t="shared" si="571"/>
        <v>481295.9</v>
      </c>
      <c r="D1218" s="516"/>
      <c r="E1218" s="519"/>
      <c r="F1218" s="519"/>
      <c r="G1218" s="514"/>
      <c r="H1218" s="522"/>
      <c r="I1218" s="522"/>
      <c r="J1218" s="520"/>
      <c r="K1218" s="513"/>
      <c r="L1218" s="514"/>
      <c r="M1218" s="515"/>
      <c r="N1218" s="515"/>
      <c r="O1218" s="515"/>
      <c r="P1218" s="515"/>
      <c r="Q1218" s="514"/>
      <c r="R1218" s="524">
        <v>481295.9</v>
      </c>
      <c r="S1218" s="516"/>
      <c r="T1218" s="516"/>
      <c r="U1218" s="516"/>
      <c r="V1218" s="517"/>
      <c r="W1218" s="518"/>
      <c r="X1218" s="519"/>
      <c r="Y1218" s="519"/>
      <c r="Z1218" s="518">
        <f>C1218</f>
        <v>481295.9</v>
      </c>
      <c r="AA1218" s="519"/>
      <c r="AB1218" s="518"/>
      <c r="AC1218" s="520"/>
      <c r="AD1218" s="520">
        <v>2025</v>
      </c>
      <c r="AE1218" s="520">
        <v>2025</v>
      </c>
      <c r="AF1218" s="594"/>
      <c r="AG1218" s="594"/>
    </row>
    <row r="1219" spans="1:33" s="595" customFormat="1" ht="24" customHeight="1">
      <c r="A1219" s="585">
        <f t="shared" si="569"/>
        <v>124</v>
      </c>
      <c r="B1219" s="20" t="s">
        <v>283</v>
      </c>
      <c r="C1219" s="4">
        <f t="shared" si="571"/>
        <v>2165872.46</v>
      </c>
      <c r="D1219" s="9"/>
      <c r="E1219" s="21"/>
      <c r="F1219" s="21"/>
      <c r="G1219" s="12"/>
      <c r="H1219" s="13"/>
      <c r="I1219" s="13"/>
      <c r="J1219" s="18"/>
      <c r="K1219" s="7"/>
      <c r="L1219" s="12"/>
      <c r="M1219" s="22"/>
      <c r="N1219" s="22"/>
      <c r="O1219" s="22"/>
      <c r="P1219" s="22"/>
      <c r="Q1219" s="12"/>
      <c r="R1219" s="9"/>
      <c r="S1219" s="9">
        <f>ROUND(1720.2*1135.41,2)</f>
        <v>1953132.28</v>
      </c>
      <c r="T1219" s="108"/>
      <c r="U1219" s="108"/>
      <c r="V1219" s="3">
        <v>183443.20000000001</v>
      </c>
      <c r="W1219" s="24">
        <v>29296.98</v>
      </c>
      <c r="X1219" s="21"/>
      <c r="Y1219" s="21"/>
      <c r="Z1219" s="21"/>
      <c r="AA1219" s="21"/>
      <c r="AB1219" s="24">
        <f t="shared" si="572"/>
        <v>2165872.46</v>
      </c>
      <c r="AC1219" s="18"/>
      <c r="AD1219" s="18">
        <v>2025</v>
      </c>
      <c r="AE1219" s="18">
        <v>2025</v>
      </c>
      <c r="AF1219" s="596"/>
      <c r="AG1219" s="594"/>
    </row>
    <row r="1220" spans="1:33" s="26" customFormat="1" ht="24" customHeight="1">
      <c r="A1220" s="585">
        <f t="shared" si="569"/>
        <v>125</v>
      </c>
      <c r="B1220" s="20" t="s">
        <v>1160</v>
      </c>
      <c r="C1220" s="4">
        <f t="shared" si="571"/>
        <v>31746671.75</v>
      </c>
      <c r="D1220" s="9"/>
      <c r="E1220" s="21"/>
      <c r="F1220" s="21"/>
      <c r="G1220" s="12"/>
      <c r="H1220" s="13"/>
      <c r="I1220" s="13"/>
      <c r="J1220" s="18"/>
      <c r="K1220" s="645"/>
      <c r="L1220" s="12"/>
      <c r="M1220" s="22"/>
      <c r="N1220" s="22"/>
      <c r="O1220" s="22"/>
      <c r="P1220" s="46">
        <v>12820864.25</v>
      </c>
      <c r="Q1220" s="12"/>
      <c r="R1220" s="9">
        <v>16988217.210000001</v>
      </c>
      <c r="S1220" s="9"/>
      <c r="T1220" s="9"/>
      <c r="U1220" s="9"/>
      <c r="V1220" s="3">
        <f>641043.21+849410.86</f>
        <v>1490454.07</v>
      </c>
      <c r="W1220" s="24">
        <f t="shared" ref="W1220" si="589">ROUND((D1220+F1220+G1220+H1220+I1220+L1220+M1220+O1220+P1220+Q1220+R1220+S1220)*1.5%,2)</f>
        <v>447136.22</v>
      </c>
      <c r="X1220" s="21"/>
      <c r="Y1220" s="21"/>
      <c r="Z1220" s="24">
        <f>C1220</f>
        <v>31746671.75</v>
      </c>
      <c r="AA1220" s="21"/>
      <c r="AB1220" s="24"/>
      <c r="AC1220" s="18"/>
      <c r="AD1220" s="18">
        <v>2025</v>
      </c>
      <c r="AE1220" s="18">
        <v>2025</v>
      </c>
      <c r="AF1220" s="91"/>
      <c r="AG1220" s="91"/>
    </row>
    <row r="1221" spans="1:33" s="595" customFormat="1" ht="24" customHeight="1">
      <c r="A1221" s="585">
        <f t="shared" si="569"/>
        <v>126</v>
      </c>
      <c r="B1221" s="586" t="s">
        <v>1042</v>
      </c>
      <c r="C1221" s="587">
        <f t="shared" si="571"/>
        <v>22223136.829999998</v>
      </c>
      <c r="D1221" s="580"/>
      <c r="E1221" s="581"/>
      <c r="F1221" s="581"/>
      <c r="G1221" s="578"/>
      <c r="H1221" s="582"/>
      <c r="I1221" s="582"/>
      <c r="J1221" s="585"/>
      <c r="K1221" s="577"/>
      <c r="L1221" s="578"/>
      <c r="M1221" s="579"/>
      <c r="N1221" s="579"/>
      <c r="O1221" s="579"/>
      <c r="P1221" s="598">
        <v>6236837.6900000004</v>
      </c>
      <c r="Q1221" s="592"/>
      <c r="R1221" s="599">
        <v>13728674.24</v>
      </c>
      <c r="S1221" s="580"/>
      <c r="T1221" s="580"/>
      <c r="U1221" s="580"/>
      <c r="V1221" s="583">
        <v>1958142.22</v>
      </c>
      <c r="W1221" s="584">
        <f t="shared" ref="W1221" si="590">ROUND((D1221+F1221+G1221+H1221+I1221+K1221+L1221+M1221+O1221+P1221+Q1221+R1221+S1221)*1.5%,2)</f>
        <v>299482.68</v>
      </c>
      <c r="X1221" s="581"/>
      <c r="Y1221" s="581"/>
      <c r="Z1221" s="584">
        <f>C1221</f>
        <v>22223136.829999998</v>
      </c>
      <c r="AA1221" s="581"/>
      <c r="AB1221" s="584"/>
      <c r="AC1221" s="585"/>
      <c r="AD1221" s="585">
        <v>2025</v>
      </c>
      <c r="AE1221" s="585">
        <v>2025</v>
      </c>
      <c r="AF1221" s="594"/>
      <c r="AG1221" s="594"/>
    </row>
    <row r="1222" spans="1:33" s="595" customFormat="1" ht="24" customHeight="1">
      <c r="A1222" s="585">
        <f t="shared" si="569"/>
        <v>127</v>
      </c>
      <c r="B1222" s="586" t="s">
        <v>1315</v>
      </c>
      <c r="C1222" s="587">
        <f t="shared" si="571"/>
        <v>18304011.32</v>
      </c>
      <c r="D1222" s="580"/>
      <c r="E1222" s="581"/>
      <c r="F1222" s="581"/>
      <c r="G1222" s="578"/>
      <c r="H1222" s="582"/>
      <c r="I1222" s="582"/>
      <c r="J1222" s="585"/>
      <c r="K1222" s="577"/>
      <c r="L1222" s="578"/>
      <c r="M1222" s="579"/>
      <c r="N1222" s="579"/>
      <c r="O1222" s="579"/>
      <c r="P1222" s="598">
        <v>11497201.07</v>
      </c>
      <c r="Q1222" s="578"/>
      <c r="R1222" s="580">
        <v>5689664.0199999996</v>
      </c>
      <c r="S1222" s="580"/>
      <c r="T1222" s="580"/>
      <c r="U1222" s="580"/>
      <c r="V1222" s="583">
        <f>284483.2+574860.05</f>
        <v>859343.25</v>
      </c>
      <c r="W1222" s="584">
        <f>85344.96+172458.02</f>
        <v>257802.98</v>
      </c>
      <c r="X1222" s="581"/>
      <c r="Y1222" s="581"/>
      <c r="Z1222" s="581"/>
      <c r="AA1222" s="581"/>
      <c r="AB1222" s="584">
        <f t="shared" ref="AB1222:AB1231" si="591">C1222</f>
        <v>18304011.32</v>
      </c>
      <c r="AC1222" s="585"/>
      <c r="AD1222" s="585">
        <v>2025</v>
      </c>
      <c r="AE1222" s="585">
        <v>2026</v>
      </c>
      <c r="AF1222" s="594"/>
      <c r="AG1222" s="594"/>
    </row>
    <row r="1223" spans="1:33" s="595" customFormat="1" ht="24" customHeight="1">
      <c r="A1223" s="585">
        <f t="shared" si="569"/>
        <v>128</v>
      </c>
      <c r="B1223" s="586" t="s">
        <v>1316</v>
      </c>
      <c r="C1223" s="587">
        <f t="shared" si="571"/>
        <v>2951477.1</v>
      </c>
      <c r="D1223" s="580"/>
      <c r="E1223" s="581"/>
      <c r="F1223" s="581"/>
      <c r="G1223" s="578"/>
      <c r="H1223" s="582"/>
      <c r="I1223" s="582"/>
      <c r="J1223" s="581">
        <v>1</v>
      </c>
      <c r="K1223" s="597">
        <v>2771340</v>
      </c>
      <c r="L1223" s="578"/>
      <c r="M1223" s="579"/>
      <c r="N1223" s="579"/>
      <c r="O1223" s="579"/>
      <c r="P1223" s="580"/>
      <c r="Q1223" s="580"/>
      <c r="R1223" s="581"/>
      <c r="S1223" s="582"/>
      <c r="T1223" s="582"/>
      <c r="U1223" s="582"/>
      <c r="V1223" s="583">
        <v>138567</v>
      </c>
      <c r="W1223" s="584">
        <f t="shared" ref="W1223" si="592">ROUND((D1223+F1223+G1223+H1223+I1223+K1223+L1223+M1223+O1223+P1223+Q1223+R1223+S1223)*1.5%,2)</f>
        <v>41570.1</v>
      </c>
      <c r="X1223" s="581"/>
      <c r="Y1223" s="581"/>
      <c r="Z1223" s="581"/>
      <c r="AA1223" s="581"/>
      <c r="AB1223" s="584">
        <f t="shared" si="591"/>
        <v>2951477.1</v>
      </c>
      <c r="AC1223" s="585"/>
      <c r="AD1223" s="585">
        <v>2025</v>
      </c>
      <c r="AE1223" s="585">
        <v>2026</v>
      </c>
      <c r="AF1223" s="594"/>
      <c r="AG1223" s="594"/>
    </row>
    <row r="1224" spans="1:33" s="26" customFormat="1" ht="24" customHeight="1">
      <c r="A1224" s="585">
        <f t="shared" si="569"/>
        <v>129</v>
      </c>
      <c r="B1224" s="20" t="s">
        <v>1140</v>
      </c>
      <c r="C1224" s="4">
        <f t="shared" si="571"/>
        <v>3834000</v>
      </c>
      <c r="D1224" s="9"/>
      <c r="E1224" s="21"/>
      <c r="F1224" s="21"/>
      <c r="G1224" s="12"/>
      <c r="H1224" s="13"/>
      <c r="I1224" s="13"/>
      <c r="J1224" s="18"/>
      <c r="K1224" s="645"/>
      <c r="L1224" s="12"/>
      <c r="M1224" s="22"/>
      <c r="N1224" s="657">
        <v>1</v>
      </c>
      <c r="O1224" s="46">
        <f t="shared" ref="O1224:O1226" si="593">3600000*N1224</f>
        <v>3600000</v>
      </c>
      <c r="P1224" s="22"/>
      <c r="Q1224" s="12"/>
      <c r="R1224" s="9"/>
      <c r="S1224" s="9"/>
      <c r="T1224" s="9"/>
      <c r="U1224" s="9"/>
      <c r="V1224" s="3">
        <v>180000</v>
      </c>
      <c r="W1224" s="24">
        <v>54000</v>
      </c>
      <c r="X1224" s="21"/>
      <c r="Y1224" s="21"/>
      <c r="Z1224" s="24">
        <f t="shared" ref="Z1224:Z1226" si="594">C1224</f>
        <v>3834000</v>
      </c>
      <c r="AA1224" s="21"/>
      <c r="AB1224" s="24"/>
      <c r="AC1224" s="18"/>
      <c r="AD1224" s="18">
        <v>2025</v>
      </c>
      <c r="AE1224" s="18">
        <v>2025</v>
      </c>
      <c r="AF1224" s="91"/>
      <c r="AG1224" s="91"/>
    </row>
    <row r="1225" spans="1:33" s="26" customFormat="1" ht="24" customHeight="1">
      <c r="A1225" s="585">
        <f t="shared" si="569"/>
        <v>130</v>
      </c>
      <c r="B1225" s="20" t="s">
        <v>1141</v>
      </c>
      <c r="C1225" s="4">
        <f t="shared" si="571"/>
        <v>3834000</v>
      </c>
      <c r="D1225" s="9"/>
      <c r="E1225" s="21"/>
      <c r="F1225" s="21"/>
      <c r="G1225" s="12"/>
      <c r="H1225" s="13"/>
      <c r="I1225" s="13"/>
      <c r="J1225" s="18"/>
      <c r="K1225" s="645"/>
      <c r="L1225" s="12"/>
      <c r="M1225" s="22"/>
      <c r="N1225" s="657">
        <v>1</v>
      </c>
      <c r="O1225" s="46">
        <f t="shared" si="593"/>
        <v>3600000</v>
      </c>
      <c r="P1225" s="22"/>
      <c r="Q1225" s="12"/>
      <c r="R1225" s="9"/>
      <c r="S1225" s="9"/>
      <c r="T1225" s="9"/>
      <c r="U1225" s="9"/>
      <c r="V1225" s="3">
        <v>180000</v>
      </c>
      <c r="W1225" s="24">
        <v>54000</v>
      </c>
      <c r="X1225" s="21"/>
      <c r="Y1225" s="21"/>
      <c r="Z1225" s="24">
        <f t="shared" si="594"/>
        <v>3834000</v>
      </c>
      <c r="AA1225" s="21"/>
      <c r="AB1225" s="24"/>
      <c r="AC1225" s="18"/>
      <c r="AD1225" s="18">
        <v>2025</v>
      </c>
      <c r="AE1225" s="18">
        <v>2025</v>
      </c>
      <c r="AF1225" s="91"/>
      <c r="AG1225" s="91"/>
    </row>
    <row r="1226" spans="1:33" s="26" customFormat="1" ht="24" customHeight="1">
      <c r="A1226" s="585">
        <f t="shared" si="569"/>
        <v>131</v>
      </c>
      <c r="B1226" s="20" t="s">
        <v>1142</v>
      </c>
      <c r="C1226" s="4">
        <f t="shared" si="571"/>
        <v>3834000</v>
      </c>
      <c r="D1226" s="9"/>
      <c r="E1226" s="21"/>
      <c r="F1226" s="21"/>
      <c r="G1226" s="12"/>
      <c r="H1226" s="13"/>
      <c r="I1226" s="13"/>
      <c r="J1226" s="18"/>
      <c r="K1226" s="645"/>
      <c r="L1226" s="12"/>
      <c r="M1226" s="22"/>
      <c r="N1226" s="657">
        <v>1</v>
      </c>
      <c r="O1226" s="46">
        <f t="shared" si="593"/>
        <v>3600000</v>
      </c>
      <c r="P1226" s="22"/>
      <c r="Q1226" s="12"/>
      <c r="R1226" s="9"/>
      <c r="S1226" s="9"/>
      <c r="T1226" s="9"/>
      <c r="U1226" s="9"/>
      <c r="V1226" s="3">
        <v>180000</v>
      </c>
      <c r="W1226" s="24">
        <v>54000</v>
      </c>
      <c r="X1226" s="21"/>
      <c r="Y1226" s="21"/>
      <c r="Z1226" s="24">
        <f t="shared" si="594"/>
        <v>3834000</v>
      </c>
      <c r="AA1226" s="21"/>
      <c r="AB1226" s="24"/>
      <c r="AC1226" s="18"/>
      <c r="AD1226" s="18">
        <v>2025</v>
      </c>
      <c r="AE1226" s="18">
        <v>2025</v>
      </c>
      <c r="AF1226" s="91"/>
      <c r="AG1226" s="91"/>
    </row>
    <row r="1227" spans="1:33" s="26" customFormat="1" ht="24" customHeight="1">
      <c r="A1227" s="585">
        <f t="shared" si="569"/>
        <v>132</v>
      </c>
      <c r="B1227" s="20" t="s">
        <v>1143</v>
      </c>
      <c r="C1227" s="4">
        <f t="shared" si="571"/>
        <v>15336000</v>
      </c>
      <c r="D1227" s="9"/>
      <c r="E1227" s="21"/>
      <c r="F1227" s="21"/>
      <c r="G1227" s="12"/>
      <c r="H1227" s="13"/>
      <c r="I1227" s="13"/>
      <c r="J1227" s="18"/>
      <c r="K1227" s="645"/>
      <c r="L1227" s="12"/>
      <c r="M1227" s="22"/>
      <c r="N1227" s="657">
        <v>4</v>
      </c>
      <c r="O1227" s="46">
        <f>3600000*N1227</f>
        <v>14400000</v>
      </c>
      <c r="P1227" s="22"/>
      <c r="Q1227" s="12"/>
      <c r="R1227" s="9"/>
      <c r="S1227" s="9"/>
      <c r="T1227" s="9"/>
      <c r="U1227" s="9"/>
      <c r="V1227" s="3">
        <v>720000</v>
      </c>
      <c r="W1227" s="24">
        <v>216000</v>
      </c>
      <c r="X1227" s="21"/>
      <c r="Y1227" s="21"/>
      <c r="Z1227" s="24">
        <f>C1227</f>
        <v>15336000</v>
      </c>
      <c r="AA1227" s="21"/>
      <c r="AB1227" s="24"/>
      <c r="AC1227" s="18"/>
      <c r="AD1227" s="18">
        <v>2025</v>
      </c>
      <c r="AE1227" s="18">
        <v>2025</v>
      </c>
      <c r="AF1227" s="91"/>
      <c r="AG1227" s="91"/>
    </row>
    <row r="1228" spans="1:33" s="26" customFormat="1" ht="24" customHeight="1">
      <c r="A1228" s="585">
        <f t="shared" si="569"/>
        <v>133</v>
      </c>
      <c r="B1228" s="20" t="s">
        <v>1144</v>
      </c>
      <c r="C1228" s="4">
        <f t="shared" si="571"/>
        <v>7668000</v>
      </c>
      <c r="D1228" s="9"/>
      <c r="E1228" s="21"/>
      <c r="F1228" s="21"/>
      <c r="G1228" s="12"/>
      <c r="H1228" s="13"/>
      <c r="I1228" s="13"/>
      <c r="J1228" s="18"/>
      <c r="K1228" s="645"/>
      <c r="L1228" s="12"/>
      <c r="M1228" s="22"/>
      <c r="N1228" s="657">
        <v>2</v>
      </c>
      <c r="O1228" s="46">
        <f>3600000*N1228</f>
        <v>7200000</v>
      </c>
      <c r="P1228" s="22"/>
      <c r="Q1228" s="12"/>
      <c r="R1228" s="9"/>
      <c r="S1228" s="9"/>
      <c r="T1228" s="9"/>
      <c r="U1228" s="9"/>
      <c r="V1228" s="3">
        <v>360000</v>
      </c>
      <c r="W1228" s="24">
        <v>108000</v>
      </c>
      <c r="X1228" s="21"/>
      <c r="Y1228" s="21"/>
      <c r="Z1228" s="24">
        <f>C1228</f>
        <v>7668000</v>
      </c>
      <c r="AA1228" s="21"/>
      <c r="AB1228" s="24"/>
      <c r="AC1228" s="18"/>
      <c r="AD1228" s="18">
        <v>2025</v>
      </c>
      <c r="AE1228" s="18">
        <v>2025</v>
      </c>
      <c r="AF1228" s="91"/>
      <c r="AG1228" s="91"/>
    </row>
    <row r="1229" spans="1:33" s="26" customFormat="1" ht="24" customHeight="1">
      <c r="A1229" s="585">
        <f t="shared" si="569"/>
        <v>134</v>
      </c>
      <c r="B1229" s="20" t="s">
        <v>1145</v>
      </c>
      <c r="C1229" s="4">
        <f t="shared" si="571"/>
        <v>7668000</v>
      </c>
      <c r="D1229" s="9"/>
      <c r="E1229" s="21"/>
      <c r="F1229" s="21"/>
      <c r="G1229" s="12"/>
      <c r="H1229" s="13"/>
      <c r="I1229" s="13"/>
      <c r="J1229" s="18"/>
      <c r="K1229" s="645"/>
      <c r="L1229" s="12"/>
      <c r="M1229" s="22"/>
      <c r="N1229" s="657">
        <v>2</v>
      </c>
      <c r="O1229" s="46">
        <f>3600000*N1229</f>
        <v>7200000</v>
      </c>
      <c r="P1229" s="22"/>
      <c r="Q1229" s="12"/>
      <c r="R1229" s="9"/>
      <c r="S1229" s="9"/>
      <c r="T1229" s="9"/>
      <c r="U1229" s="9"/>
      <c r="V1229" s="3">
        <v>360000</v>
      </c>
      <c r="W1229" s="24">
        <v>108000</v>
      </c>
      <c r="X1229" s="21"/>
      <c r="Y1229" s="21"/>
      <c r="Z1229" s="24">
        <f>C1229</f>
        <v>7668000</v>
      </c>
      <c r="AA1229" s="21"/>
      <c r="AB1229" s="24"/>
      <c r="AC1229" s="18"/>
      <c r="AD1229" s="18">
        <v>2025</v>
      </c>
      <c r="AE1229" s="18">
        <v>2025</v>
      </c>
      <c r="AF1229" s="91"/>
      <c r="AG1229" s="91"/>
    </row>
    <row r="1230" spans="1:33" s="26" customFormat="1" ht="24" customHeight="1">
      <c r="A1230" s="585">
        <f t="shared" si="569"/>
        <v>135</v>
      </c>
      <c r="B1230" s="20" t="s">
        <v>1146</v>
      </c>
      <c r="C1230" s="4">
        <f t="shared" si="571"/>
        <v>7668000</v>
      </c>
      <c r="D1230" s="9"/>
      <c r="E1230" s="21"/>
      <c r="F1230" s="21"/>
      <c r="G1230" s="12"/>
      <c r="H1230" s="13"/>
      <c r="I1230" s="13"/>
      <c r="J1230" s="18"/>
      <c r="K1230" s="645"/>
      <c r="L1230" s="12"/>
      <c r="M1230" s="22"/>
      <c r="N1230" s="657">
        <v>2</v>
      </c>
      <c r="O1230" s="46">
        <f>3600000*N1230</f>
        <v>7200000</v>
      </c>
      <c r="P1230" s="22"/>
      <c r="Q1230" s="12"/>
      <c r="R1230" s="9"/>
      <c r="S1230" s="9"/>
      <c r="T1230" s="9"/>
      <c r="U1230" s="9"/>
      <c r="V1230" s="3">
        <v>360000</v>
      </c>
      <c r="W1230" s="24">
        <v>108000</v>
      </c>
      <c r="X1230" s="21"/>
      <c r="Y1230" s="21"/>
      <c r="Z1230" s="24">
        <f>C1230</f>
        <v>7668000</v>
      </c>
      <c r="AA1230" s="21"/>
      <c r="AB1230" s="24"/>
      <c r="AC1230" s="18"/>
      <c r="AD1230" s="18">
        <v>2025</v>
      </c>
      <c r="AE1230" s="18">
        <v>2025</v>
      </c>
      <c r="AF1230" s="91"/>
      <c r="AG1230" s="91"/>
    </row>
    <row r="1231" spans="1:33" s="595" customFormat="1" ht="24" customHeight="1">
      <c r="A1231" s="585">
        <f t="shared" si="569"/>
        <v>136</v>
      </c>
      <c r="B1231" s="586" t="s">
        <v>1043</v>
      </c>
      <c r="C1231" s="587">
        <f t="shared" si="571"/>
        <v>26827492.390000001</v>
      </c>
      <c r="D1231" s="580"/>
      <c r="E1231" s="581"/>
      <c r="F1231" s="581"/>
      <c r="G1231" s="578"/>
      <c r="H1231" s="582"/>
      <c r="I1231" s="582"/>
      <c r="J1231" s="585"/>
      <c r="K1231" s="577"/>
      <c r="L1231" s="578"/>
      <c r="M1231" s="579"/>
      <c r="N1231" s="579"/>
      <c r="O1231" s="579"/>
      <c r="P1231" s="598">
        <v>10834258.18</v>
      </c>
      <c r="Q1231" s="578"/>
      <c r="R1231" s="580">
        <v>14355875.52</v>
      </c>
      <c r="S1231" s="580"/>
      <c r="T1231" s="580"/>
      <c r="U1231" s="580"/>
      <c r="V1231" s="583">
        <f>717793.78+541712.91</f>
        <v>1259506.69</v>
      </c>
      <c r="W1231" s="584">
        <f>215338.13+162513.87</f>
        <v>377852</v>
      </c>
      <c r="X1231" s="581"/>
      <c r="Y1231" s="581"/>
      <c r="Z1231" s="581"/>
      <c r="AA1231" s="581"/>
      <c r="AB1231" s="584">
        <f t="shared" si="591"/>
        <v>26827492.390000001</v>
      </c>
      <c r="AC1231" s="585"/>
      <c r="AD1231" s="585">
        <v>2025</v>
      </c>
      <c r="AE1231" s="585">
        <v>2026</v>
      </c>
      <c r="AF1231" s="594"/>
      <c r="AG1231" s="594"/>
    </row>
    <row r="1232" spans="1:33" s="595" customFormat="1" ht="24" customHeight="1">
      <c r="A1232" s="585">
        <f t="shared" si="569"/>
        <v>137</v>
      </c>
      <c r="B1232" s="20" t="s">
        <v>284</v>
      </c>
      <c r="C1232" s="4">
        <f t="shared" si="571"/>
        <v>8413735.3499999996</v>
      </c>
      <c r="D1232" s="9"/>
      <c r="E1232" s="21"/>
      <c r="F1232" s="21"/>
      <c r="G1232" s="12"/>
      <c r="H1232" s="13"/>
      <c r="I1232" s="13"/>
      <c r="J1232" s="18"/>
      <c r="K1232" s="7"/>
      <c r="L1232" s="12"/>
      <c r="M1232" s="22"/>
      <c r="N1232" s="22"/>
      <c r="O1232" s="22"/>
      <c r="P1232" s="12">
        <f>ROUND(1267.3*5975.33,2)</f>
        <v>7572535.71</v>
      </c>
      <c r="Q1232" s="12"/>
      <c r="R1232" s="9"/>
      <c r="S1232" s="9"/>
      <c r="T1232" s="108"/>
      <c r="U1232" s="108"/>
      <c r="V1232" s="3">
        <v>727611.6</v>
      </c>
      <c r="W1232" s="24">
        <f t="shared" si="574"/>
        <v>113588.04</v>
      </c>
      <c r="X1232" s="21"/>
      <c r="Y1232" s="21"/>
      <c r="Z1232" s="21"/>
      <c r="AA1232" s="21"/>
      <c r="AB1232" s="24">
        <f t="shared" si="572"/>
        <v>8413735.3499999996</v>
      </c>
      <c r="AC1232" s="18"/>
      <c r="AD1232" s="18">
        <v>2025</v>
      </c>
      <c r="AE1232" s="18">
        <v>2025</v>
      </c>
      <c r="AF1232" s="596"/>
      <c r="AG1232" s="594"/>
    </row>
    <row r="1233" spans="1:33" s="595" customFormat="1" ht="24" customHeight="1">
      <c r="A1233" s="585">
        <f t="shared" si="569"/>
        <v>138</v>
      </c>
      <c r="B1233" s="20" t="s">
        <v>285</v>
      </c>
      <c r="C1233" s="4">
        <f t="shared" si="571"/>
        <v>7521279.6399999997</v>
      </c>
      <c r="D1233" s="9"/>
      <c r="E1233" s="21"/>
      <c r="F1233" s="21"/>
      <c r="G1233" s="12"/>
      <c r="H1233" s="13"/>
      <c r="I1233" s="13"/>
      <c r="J1233" s="18"/>
      <c r="K1233" s="7"/>
      <c r="L1233" s="12"/>
      <c r="M1233" s="22"/>
      <c r="N1233" s="22"/>
      <c r="O1233" s="22"/>
      <c r="P1233" s="12">
        <f>ROUND(1671.8*3855.19,2)</f>
        <v>6445106.6399999997</v>
      </c>
      <c r="Q1233" s="12"/>
      <c r="R1233" s="9"/>
      <c r="S1233" s="9"/>
      <c r="T1233" s="108"/>
      <c r="U1233" s="108"/>
      <c r="V1233" s="3">
        <v>979496.4</v>
      </c>
      <c r="W1233" s="24">
        <f t="shared" si="574"/>
        <v>96676.6</v>
      </c>
      <c r="X1233" s="21"/>
      <c r="Y1233" s="21"/>
      <c r="Z1233" s="21"/>
      <c r="AA1233" s="21"/>
      <c r="AB1233" s="24">
        <f t="shared" si="572"/>
        <v>7521279.6399999997</v>
      </c>
      <c r="AC1233" s="18"/>
      <c r="AD1233" s="18">
        <v>2025</v>
      </c>
      <c r="AE1233" s="18">
        <v>2025</v>
      </c>
      <c r="AF1233" s="596"/>
      <c r="AG1233" s="594"/>
    </row>
    <row r="1234" spans="1:33" s="595" customFormat="1" ht="24" customHeight="1">
      <c r="A1234" s="585">
        <f t="shared" si="569"/>
        <v>139</v>
      </c>
      <c r="B1234" s="20" t="s">
        <v>286</v>
      </c>
      <c r="C1234" s="4">
        <f t="shared" si="571"/>
        <v>7296801.4699999997</v>
      </c>
      <c r="D1234" s="9"/>
      <c r="E1234" s="21"/>
      <c r="F1234" s="21"/>
      <c r="G1234" s="12"/>
      <c r="H1234" s="13"/>
      <c r="I1234" s="13"/>
      <c r="J1234" s="18"/>
      <c r="K1234" s="7"/>
      <c r="L1234" s="12"/>
      <c r="M1234" s="22"/>
      <c r="N1234" s="22"/>
      <c r="O1234" s="22"/>
      <c r="P1234" s="12">
        <f>ROUND(1617.4*3855.19,2)</f>
        <v>6235384.3099999996</v>
      </c>
      <c r="Q1234" s="12"/>
      <c r="R1234" s="9"/>
      <c r="S1234" s="9"/>
      <c r="T1234" s="108"/>
      <c r="U1234" s="108"/>
      <c r="V1234" s="3">
        <v>967886.4</v>
      </c>
      <c r="W1234" s="24">
        <f t="shared" si="574"/>
        <v>93530.76</v>
      </c>
      <c r="X1234" s="21"/>
      <c r="Y1234" s="21"/>
      <c r="Z1234" s="21"/>
      <c r="AA1234" s="21"/>
      <c r="AB1234" s="24">
        <f t="shared" si="572"/>
        <v>7296801.4699999997</v>
      </c>
      <c r="AC1234" s="18"/>
      <c r="AD1234" s="18">
        <v>2025</v>
      </c>
      <c r="AE1234" s="18">
        <v>2025</v>
      </c>
      <c r="AF1234" s="596"/>
      <c r="AG1234" s="594"/>
    </row>
    <row r="1235" spans="1:33" s="595" customFormat="1" ht="24" customHeight="1">
      <c r="A1235" s="585">
        <f t="shared" si="569"/>
        <v>140</v>
      </c>
      <c r="B1235" s="20" t="s">
        <v>287</v>
      </c>
      <c r="C1235" s="4">
        <f t="shared" si="571"/>
        <v>19973569.120000001</v>
      </c>
      <c r="D1235" s="9">
        <f>ROUND(3202.7*660.21,2)</f>
        <v>2114454.5699999998</v>
      </c>
      <c r="E1235" s="21"/>
      <c r="F1235" s="21"/>
      <c r="G1235" s="12">
        <f>ROUND(3202.7*620.83,2)</f>
        <v>1988332.24</v>
      </c>
      <c r="H1235" s="13">
        <f>ROUND(3202.7*665.62,2)</f>
        <v>2131781.17</v>
      </c>
      <c r="I1235" s="13">
        <f>ROUND(3202.7*3201.73,2)</f>
        <v>10254180.67</v>
      </c>
      <c r="J1235" s="18"/>
      <c r="K1235" s="7"/>
      <c r="L1235" s="12">
        <f>ROUND(3202.7*616.25,2)</f>
        <v>1973663.88</v>
      </c>
      <c r="M1235" s="22"/>
      <c r="N1235" s="22"/>
      <c r="O1235" s="22"/>
      <c r="P1235" s="22"/>
      <c r="Q1235" s="12"/>
      <c r="R1235" s="9"/>
      <c r="S1235" s="9"/>
      <c r="T1235" s="108"/>
      <c r="U1235" s="108"/>
      <c r="V1235" s="3">
        <v>1234220.3999999999</v>
      </c>
      <c r="W1235" s="24">
        <f t="shared" si="574"/>
        <v>276936.19</v>
      </c>
      <c r="X1235" s="21"/>
      <c r="Y1235" s="21"/>
      <c r="Z1235" s="21"/>
      <c r="AA1235" s="21"/>
      <c r="AB1235" s="24">
        <f t="shared" si="572"/>
        <v>19973569.120000001</v>
      </c>
      <c r="AC1235" s="18"/>
      <c r="AD1235" s="18">
        <v>2025</v>
      </c>
      <c r="AE1235" s="18">
        <v>2025</v>
      </c>
      <c r="AF1235" s="596"/>
      <c r="AG1235" s="594"/>
    </row>
    <row r="1236" spans="1:33" s="595" customFormat="1" ht="24" customHeight="1">
      <c r="A1236" s="585">
        <f t="shared" si="569"/>
        <v>141</v>
      </c>
      <c r="B1236" s="20" t="s">
        <v>288</v>
      </c>
      <c r="C1236" s="4">
        <f t="shared" si="571"/>
        <v>26072163.640000001</v>
      </c>
      <c r="D1236" s="9"/>
      <c r="E1236" s="21"/>
      <c r="F1236" s="21"/>
      <c r="G1236" s="12"/>
      <c r="H1236" s="13"/>
      <c r="I1236" s="13"/>
      <c r="J1236" s="18"/>
      <c r="K1236" s="7"/>
      <c r="L1236" s="12"/>
      <c r="M1236" s="22"/>
      <c r="N1236" s="22"/>
      <c r="O1236" s="22"/>
      <c r="P1236" s="12">
        <f>ROUND(6293.3*3855.19,2)</f>
        <v>24261867.23</v>
      </c>
      <c r="Q1236" s="12"/>
      <c r="R1236" s="9"/>
      <c r="S1236" s="9"/>
      <c r="T1236" s="108"/>
      <c r="U1236" s="108"/>
      <c r="V1236" s="3">
        <v>1446368.4</v>
      </c>
      <c r="W1236" s="24">
        <f t="shared" si="574"/>
        <v>363928.01</v>
      </c>
      <c r="X1236" s="21"/>
      <c r="Y1236" s="21"/>
      <c r="Z1236" s="21"/>
      <c r="AA1236" s="21"/>
      <c r="AB1236" s="24">
        <f t="shared" si="572"/>
        <v>26072163.640000001</v>
      </c>
      <c r="AC1236" s="18"/>
      <c r="AD1236" s="18">
        <v>2025</v>
      </c>
      <c r="AE1236" s="18">
        <v>2025</v>
      </c>
      <c r="AF1236" s="596"/>
      <c r="AG1236" s="594"/>
    </row>
    <row r="1237" spans="1:33" s="595" customFormat="1" ht="24" customHeight="1">
      <c r="A1237" s="585">
        <f t="shared" si="569"/>
        <v>142</v>
      </c>
      <c r="B1237" s="20" t="s">
        <v>289</v>
      </c>
      <c r="C1237" s="4">
        <f t="shared" si="571"/>
        <v>25081042.149999999</v>
      </c>
      <c r="D1237" s="9"/>
      <c r="E1237" s="21"/>
      <c r="F1237" s="21"/>
      <c r="G1237" s="12"/>
      <c r="H1237" s="13"/>
      <c r="I1237" s="13"/>
      <c r="J1237" s="18"/>
      <c r="K1237" s="9"/>
      <c r="L1237" s="12"/>
      <c r="M1237" s="22"/>
      <c r="N1237" s="22"/>
      <c r="O1237" s="22"/>
      <c r="P1237" s="12">
        <f>ROUND(6047.4*3855.19,2)</f>
        <v>23313876.010000002</v>
      </c>
      <c r="Q1237" s="12"/>
      <c r="R1237" s="9"/>
      <c r="S1237" s="9"/>
      <c r="T1237" s="108"/>
      <c r="U1237" s="108"/>
      <c r="V1237" s="3">
        <v>1417458</v>
      </c>
      <c r="W1237" s="24">
        <f t="shared" si="574"/>
        <v>349708.14</v>
      </c>
      <c r="X1237" s="21"/>
      <c r="Y1237" s="21"/>
      <c r="Z1237" s="21"/>
      <c r="AA1237" s="21"/>
      <c r="AB1237" s="24">
        <f t="shared" si="572"/>
        <v>25081042.149999999</v>
      </c>
      <c r="AC1237" s="18"/>
      <c r="AD1237" s="18">
        <v>2025</v>
      </c>
      <c r="AE1237" s="18">
        <v>2025</v>
      </c>
      <c r="AF1237" s="596"/>
      <c r="AG1237" s="594"/>
    </row>
    <row r="1238" spans="1:33" s="26" customFormat="1" ht="24" customHeight="1">
      <c r="A1238" s="585">
        <f t="shared" ref="A1238" si="595">A1237+1</f>
        <v>143</v>
      </c>
      <c r="B1238" s="586" t="s">
        <v>290</v>
      </c>
      <c r="C1238" s="587">
        <f t="shared" si="571"/>
        <v>19580157.170000002</v>
      </c>
      <c r="D1238" s="580"/>
      <c r="E1238" s="581"/>
      <c r="F1238" s="581"/>
      <c r="G1238" s="578"/>
      <c r="H1238" s="582"/>
      <c r="I1238" s="582"/>
      <c r="J1238" s="585"/>
      <c r="K1238" s="577"/>
      <c r="L1238" s="578"/>
      <c r="M1238" s="578">
        <f>1058723.84+2417019.16</f>
        <v>3475743</v>
      </c>
      <c r="N1238" s="579"/>
      <c r="O1238" s="579"/>
      <c r="P1238" s="578"/>
      <c r="Q1238" s="578"/>
      <c r="R1238" s="580">
        <f>ROUND(3131.3*3435.59,2)</f>
        <v>10757862.970000001</v>
      </c>
      <c r="S1238" s="580">
        <f>ROUND(3131.3*1135.41,2)</f>
        <v>3555309.33</v>
      </c>
      <c r="T1238" s="580"/>
      <c r="U1238" s="580"/>
      <c r="V1238" s="583">
        <v>1560663.43</v>
      </c>
      <c r="W1238" s="584">
        <v>230578.44</v>
      </c>
      <c r="X1238" s="581"/>
      <c r="Y1238" s="581"/>
      <c r="Z1238" s="581"/>
      <c r="AA1238" s="581"/>
      <c r="AB1238" s="584">
        <f t="shared" si="572"/>
        <v>19580157.170000002</v>
      </c>
      <c r="AC1238" s="585"/>
      <c r="AD1238" s="585">
        <v>2025</v>
      </c>
      <c r="AE1238" s="585">
        <v>2025</v>
      </c>
      <c r="AF1238" s="91"/>
      <c r="AG1238" s="91"/>
    </row>
    <row r="1239" spans="1:33" s="26" customFormat="1" ht="24" customHeight="1">
      <c r="A1239" s="585">
        <f t="shared" ref="A1239:A1291" si="596">A1238+1</f>
        <v>144</v>
      </c>
      <c r="B1239" s="20" t="s">
        <v>775</v>
      </c>
      <c r="C1239" s="4">
        <f t="shared" si="571"/>
        <v>29350924.399999999</v>
      </c>
      <c r="D1239" s="9"/>
      <c r="E1239" s="21"/>
      <c r="F1239" s="21"/>
      <c r="G1239" s="12"/>
      <c r="H1239" s="13"/>
      <c r="I1239" s="13"/>
      <c r="J1239" s="18"/>
      <c r="K1239" s="645"/>
      <c r="L1239" s="12"/>
      <c r="M1239" s="12"/>
      <c r="N1239" s="22"/>
      <c r="O1239" s="22"/>
      <c r="P1239" s="12"/>
      <c r="Q1239" s="12"/>
      <c r="R1239" s="9">
        <v>9129593.8000000007</v>
      </c>
      <c r="S1239" s="9">
        <v>19337839.41</v>
      </c>
      <c r="T1239" s="9"/>
      <c r="U1239" s="9"/>
      <c r="V1239" s="3">
        <f>456479.69</f>
        <v>456479.69</v>
      </c>
      <c r="W1239" s="24">
        <f t="shared" si="574"/>
        <v>427011.5</v>
      </c>
      <c r="X1239" s="21"/>
      <c r="Y1239" s="21"/>
      <c r="Z1239" s="24">
        <f>C1239</f>
        <v>29350924.399999999</v>
      </c>
      <c r="AA1239" s="21"/>
      <c r="AB1239" s="24"/>
      <c r="AC1239" s="18"/>
      <c r="AD1239" s="18">
        <v>2025</v>
      </c>
      <c r="AE1239" s="18">
        <v>2025</v>
      </c>
      <c r="AF1239" s="91"/>
      <c r="AG1239" s="91"/>
    </row>
    <row r="1240" spans="1:33" s="26" customFormat="1" ht="24" customHeight="1">
      <c r="A1240" s="585">
        <f t="shared" si="596"/>
        <v>145</v>
      </c>
      <c r="B1240" s="20" t="s">
        <v>1161</v>
      </c>
      <c r="C1240" s="4">
        <f t="shared" si="571"/>
        <v>8648065.2699999996</v>
      </c>
      <c r="D1240" s="9"/>
      <c r="E1240" s="21"/>
      <c r="F1240" s="21"/>
      <c r="G1240" s="12"/>
      <c r="H1240" s="13"/>
      <c r="I1240" s="13"/>
      <c r="J1240" s="18"/>
      <c r="K1240" s="645"/>
      <c r="L1240" s="12"/>
      <c r="M1240" s="12"/>
      <c r="N1240" s="22"/>
      <c r="O1240" s="22"/>
      <c r="P1240" s="12"/>
      <c r="Q1240" s="12"/>
      <c r="R1240" s="9">
        <v>8120249.0800000001</v>
      </c>
      <c r="S1240" s="9"/>
      <c r="T1240" s="9"/>
      <c r="U1240" s="9"/>
      <c r="V1240" s="3">
        <v>406012.45</v>
      </c>
      <c r="W1240" s="24">
        <v>121803.74</v>
      </c>
      <c r="X1240" s="21"/>
      <c r="Y1240" s="21"/>
      <c r="Z1240" s="24">
        <f>C1240</f>
        <v>8648065.2699999996</v>
      </c>
      <c r="AA1240" s="21"/>
      <c r="AB1240" s="24"/>
      <c r="AC1240" s="18"/>
      <c r="AD1240" s="18">
        <v>2025</v>
      </c>
      <c r="AE1240" s="18">
        <v>2025</v>
      </c>
      <c r="AF1240" s="91"/>
      <c r="AG1240" s="91"/>
    </row>
    <row r="1241" spans="1:33" s="26" customFormat="1" ht="24" customHeight="1">
      <c r="A1241" s="585">
        <f t="shared" si="596"/>
        <v>146</v>
      </c>
      <c r="B1241" s="20" t="s">
        <v>1162</v>
      </c>
      <c r="C1241" s="4">
        <f t="shared" si="571"/>
        <v>19558577.899999999</v>
      </c>
      <c r="D1241" s="9"/>
      <c r="E1241" s="21"/>
      <c r="F1241" s="21"/>
      <c r="G1241" s="12"/>
      <c r="H1241" s="13"/>
      <c r="I1241" s="13"/>
      <c r="J1241" s="18"/>
      <c r="K1241" s="645"/>
      <c r="L1241" s="12"/>
      <c r="M1241" s="12"/>
      <c r="N1241" s="22"/>
      <c r="O1241" s="22"/>
      <c r="P1241" s="12">
        <v>12285225.289999999</v>
      </c>
      <c r="Q1241" s="12"/>
      <c r="R1241" s="9">
        <v>6079636.5899999999</v>
      </c>
      <c r="S1241" s="9"/>
      <c r="T1241" s="9"/>
      <c r="U1241" s="9"/>
      <c r="V1241" s="3">
        <f>614261.27+303981.82</f>
        <v>918243.09</v>
      </c>
      <c r="W1241" s="24">
        <f t="shared" si="574"/>
        <v>275472.93</v>
      </c>
      <c r="X1241" s="21"/>
      <c r="Y1241" s="21"/>
      <c r="Z1241" s="24">
        <f>C1241</f>
        <v>19558577.899999999</v>
      </c>
      <c r="AA1241" s="21"/>
      <c r="AB1241" s="24"/>
      <c r="AC1241" s="18"/>
      <c r="AD1241" s="18">
        <v>2025</v>
      </c>
      <c r="AE1241" s="18">
        <v>2025</v>
      </c>
      <c r="AF1241" s="91"/>
      <c r="AG1241" s="91"/>
    </row>
    <row r="1242" spans="1:33" s="26" customFormat="1" ht="24" customHeight="1">
      <c r="A1242" s="585">
        <f t="shared" si="596"/>
        <v>147</v>
      </c>
      <c r="B1242" s="20" t="s">
        <v>1163</v>
      </c>
      <c r="C1242" s="4">
        <f t="shared" si="571"/>
        <v>22074798.300000001</v>
      </c>
      <c r="D1242" s="9"/>
      <c r="E1242" s="21"/>
      <c r="F1242" s="21"/>
      <c r="G1242" s="12"/>
      <c r="H1242" s="13"/>
      <c r="I1242" s="13"/>
      <c r="J1242" s="18"/>
      <c r="K1242" s="645"/>
      <c r="L1242" s="12"/>
      <c r="M1242" s="12"/>
      <c r="N1242" s="22"/>
      <c r="O1242" s="22"/>
      <c r="P1242" s="12">
        <v>10856896.609999999</v>
      </c>
      <c r="Q1242" s="12"/>
      <c r="R1242" s="9">
        <v>9870613.5299999993</v>
      </c>
      <c r="S1242" s="9"/>
      <c r="T1242" s="9"/>
      <c r="U1242" s="9"/>
      <c r="V1242" s="3">
        <f>542844.83+493530.68</f>
        <v>1036375.51</v>
      </c>
      <c r="W1242" s="24">
        <f t="shared" si="574"/>
        <v>310912.65000000002</v>
      </c>
      <c r="X1242" s="21"/>
      <c r="Y1242" s="21"/>
      <c r="Z1242" s="24">
        <f t="shared" ref="Z1242:Z1246" si="597">C1242</f>
        <v>22074798.300000001</v>
      </c>
      <c r="AA1242" s="21"/>
      <c r="AB1242" s="24"/>
      <c r="AC1242" s="18"/>
      <c r="AD1242" s="18">
        <v>2025</v>
      </c>
      <c r="AE1242" s="18">
        <v>2025</v>
      </c>
      <c r="AF1242" s="91"/>
      <c r="AG1242" s="91"/>
    </row>
    <row r="1243" spans="1:33" s="26" customFormat="1" ht="24" customHeight="1">
      <c r="A1243" s="585">
        <f t="shared" si="596"/>
        <v>148</v>
      </c>
      <c r="B1243" s="20" t="s">
        <v>1164</v>
      </c>
      <c r="C1243" s="4">
        <f t="shared" si="571"/>
        <v>22262525.350000001</v>
      </c>
      <c r="D1243" s="9"/>
      <c r="E1243" s="21"/>
      <c r="F1243" s="21"/>
      <c r="G1243" s="12"/>
      <c r="H1243" s="13"/>
      <c r="I1243" s="13"/>
      <c r="J1243" s="18"/>
      <c r="K1243" s="645"/>
      <c r="L1243" s="12"/>
      <c r="M1243" s="12"/>
      <c r="N1243" s="22"/>
      <c r="O1243" s="22"/>
      <c r="P1243" s="12">
        <v>10949225.119999999</v>
      </c>
      <c r="Q1243" s="12"/>
      <c r="R1243" s="9">
        <v>9954554.5500000007</v>
      </c>
      <c r="S1243" s="9"/>
      <c r="T1243" s="9"/>
      <c r="U1243" s="9"/>
      <c r="V1243" s="3">
        <f>547461.26+497727.72</f>
        <v>1045188.98</v>
      </c>
      <c r="W1243" s="24">
        <f t="shared" si="574"/>
        <v>313556.7</v>
      </c>
      <c r="X1243" s="21"/>
      <c r="Y1243" s="21"/>
      <c r="Z1243" s="24">
        <f t="shared" si="597"/>
        <v>22262525.350000001</v>
      </c>
      <c r="AA1243" s="21"/>
      <c r="AB1243" s="24"/>
      <c r="AC1243" s="18"/>
      <c r="AD1243" s="18">
        <v>2025</v>
      </c>
      <c r="AE1243" s="18">
        <v>2025</v>
      </c>
      <c r="AF1243" s="91"/>
      <c r="AG1243" s="91"/>
    </row>
    <row r="1244" spans="1:33" s="26" customFormat="1" ht="24" customHeight="1">
      <c r="A1244" s="585">
        <f t="shared" si="596"/>
        <v>149</v>
      </c>
      <c r="B1244" s="20" t="s">
        <v>1165</v>
      </c>
      <c r="C1244" s="4">
        <f t="shared" si="571"/>
        <v>19199551.800000001</v>
      </c>
      <c r="D1244" s="9"/>
      <c r="E1244" s="21"/>
      <c r="F1244" s="21"/>
      <c r="G1244" s="12"/>
      <c r="H1244" s="13"/>
      <c r="I1244" s="13"/>
      <c r="J1244" s="18"/>
      <c r="K1244" s="645"/>
      <c r="L1244" s="12"/>
      <c r="M1244" s="12"/>
      <c r="N1244" s="22"/>
      <c r="O1244" s="22"/>
      <c r="P1244" s="12"/>
      <c r="Q1244" s="12"/>
      <c r="R1244" s="9">
        <v>18027748.170000002</v>
      </c>
      <c r="S1244" s="9"/>
      <c r="T1244" s="9"/>
      <c r="U1244" s="9"/>
      <c r="V1244" s="3">
        <v>901387.41</v>
      </c>
      <c r="W1244" s="24">
        <v>270416.21999999997</v>
      </c>
      <c r="X1244" s="21"/>
      <c r="Y1244" s="21"/>
      <c r="Z1244" s="24">
        <f t="shared" si="597"/>
        <v>19199551.800000001</v>
      </c>
      <c r="AA1244" s="21"/>
      <c r="AB1244" s="24"/>
      <c r="AC1244" s="18"/>
      <c r="AD1244" s="18">
        <v>2025</v>
      </c>
      <c r="AE1244" s="18">
        <v>2025</v>
      </c>
      <c r="AF1244" s="91"/>
      <c r="AG1244" s="91"/>
    </row>
    <row r="1245" spans="1:33" s="26" customFormat="1" ht="24" customHeight="1">
      <c r="A1245" s="585">
        <f t="shared" si="596"/>
        <v>150</v>
      </c>
      <c r="B1245" s="20" t="s">
        <v>1166</v>
      </c>
      <c r="C1245" s="4">
        <f t="shared" si="571"/>
        <v>5994336.3499999996</v>
      </c>
      <c r="D1245" s="9"/>
      <c r="E1245" s="21"/>
      <c r="F1245" s="21"/>
      <c r="G1245" s="12"/>
      <c r="H1245" s="13"/>
      <c r="I1245" s="13"/>
      <c r="J1245" s="18"/>
      <c r="K1245" s="645"/>
      <c r="L1245" s="12"/>
      <c r="M1245" s="12"/>
      <c r="N1245" s="22"/>
      <c r="O1245" s="22"/>
      <c r="P1245" s="12"/>
      <c r="Q1245" s="12"/>
      <c r="R1245" s="9">
        <v>5628484.8399999999</v>
      </c>
      <c r="S1245" s="9"/>
      <c r="T1245" s="9"/>
      <c r="U1245" s="9"/>
      <c r="V1245" s="3">
        <v>281424.24</v>
      </c>
      <c r="W1245" s="24">
        <v>84427.27</v>
      </c>
      <c r="X1245" s="21"/>
      <c r="Y1245" s="21"/>
      <c r="Z1245" s="24">
        <f t="shared" si="597"/>
        <v>5994336.3499999996</v>
      </c>
      <c r="AA1245" s="21"/>
      <c r="AB1245" s="24"/>
      <c r="AC1245" s="18"/>
      <c r="AD1245" s="18">
        <v>2025</v>
      </c>
      <c r="AE1245" s="18">
        <v>2025</v>
      </c>
      <c r="AF1245" s="91"/>
      <c r="AG1245" s="91"/>
    </row>
    <row r="1246" spans="1:33" s="26" customFormat="1" ht="24" customHeight="1">
      <c r="A1246" s="585">
        <f t="shared" si="596"/>
        <v>151</v>
      </c>
      <c r="B1246" s="20" t="s">
        <v>1167</v>
      </c>
      <c r="C1246" s="4">
        <f t="shared" si="571"/>
        <v>22306070.719999999</v>
      </c>
      <c r="D1246" s="9"/>
      <c r="E1246" s="21"/>
      <c r="F1246" s="21"/>
      <c r="G1246" s="12"/>
      <c r="H1246" s="13"/>
      <c r="I1246" s="13"/>
      <c r="J1246" s="18"/>
      <c r="K1246" s="645"/>
      <c r="L1246" s="12"/>
      <c r="M1246" s="12"/>
      <c r="N1246" s="22"/>
      <c r="O1246" s="22"/>
      <c r="P1246" s="12"/>
      <c r="Q1246" s="12"/>
      <c r="R1246" s="9">
        <v>20944667.34</v>
      </c>
      <c r="S1246" s="9"/>
      <c r="T1246" s="9"/>
      <c r="U1246" s="9"/>
      <c r="V1246" s="3">
        <v>1047233.37</v>
      </c>
      <c r="W1246" s="24">
        <v>314170.01</v>
      </c>
      <c r="X1246" s="21"/>
      <c r="Y1246" s="21"/>
      <c r="Z1246" s="24">
        <f t="shared" si="597"/>
        <v>22306070.719999999</v>
      </c>
      <c r="AA1246" s="21"/>
      <c r="AB1246" s="24"/>
      <c r="AC1246" s="18"/>
      <c r="AD1246" s="18">
        <v>2025</v>
      </c>
      <c r="AE1246" s="18">
        <v>2025</v>
      </c>
      <c r="AF1246" s="91"/>
      <c r="AG1246" s="91"/>
    </row>
    <row r="1247" spans="1:33" s="595" customFormat="1" ht="24" customHeight="1">
      <c r="A1247" s="585">
        <f t="shared" si="596"/>
        <v>152</v>
      </c>
      <c r="B1247" s="20" t="s">
        <v>1114</v>
      </c>
      <c r="C1247" s="4">
        <f t="shared" si="571"/>
        <v>26260185.899999999</v>
      </c>
      <c r="D1247" s="9"/>
      <c r="E1247" s="21"/>
      <c r="F1247" s="21"/>
      <c r="G1247" s="12"/>
      <c r="H1247" s="13"/>
      <c r="I1247" s="13"/>
      <c r="J1247" s="18"/>
      <c r="K1247" s="645"/>
      <c r="L1247" s="12"/>
      <c r="M1247" s="12"/>
      <c r="N1247" s="22"/>
      <c r="O1247" s="22"/>
      <c r="P1247" s="12">
        <v>13941677.939999999</v>
      </c>
      <c r="Q1247" s="12"/>
      <c r="R1247" s="9">
        <v>10248220.16</v>
      </c>
      <c r="S1247" s="9"/>
      <c r="T1247" s="9"/>
      <c r="U1247" s="9"/>
      <c r="V1247" s="3">
        <f>921782.63+785656.7</f>
        <v>1707439.33</v>
      </c>
      <c r="W1247" s="24">
        <f t="shared" si="574"/>
        <v>362848.47</v>
      </c>
      <c r="X1247" s="21"/>
      <c r="Y1247" s="21"/>
      <c r="Z1247" s="24">
        <f>C1247</f>
        <v>26260185.899999999</v>
      </c>
      <c r="AA1247" s="21"/>
      <c r="AB1247" s="24"/>
      <c r="AC1247" s="18"/>
      <c r="AD1247" s="18">
        <v>2025</v>
      </c>
      <c r="AE1247" s="18">
        <v>2025</v>
      </c>
      <c r="AF1247" s="596"/>
      <c r="AG1247" s="594"/>
    </row>
    <row r="1248" spans="1:33" s="595" customFormat="1" ht="24" customHeight="1">
      <c r="A1248" s="585">
        <f t="shared" si="596"/>
        <v>153</v>
      </c>
      <c r="B1248" s="20" t="s">
        <v>1115</v>
      </c>
      <c r="C1248" s="4">
        <f t="shared" si="571"/>
        <v>10452005.34</v>
      </c>
      <c r="D1248" s="9"/>
      <c r="E1248" s="21"/>
      <c r="F1248" s="21"/>
      <c r="G1248" s="12"/>
      <c r="H1248" s="13"/>
      <c r="I1248" s="13"/>
      <c r="J1248" s="18"/>
      <c r="K1248" s="645"/>
      <c r="L1248" s="12"/>
      <c r="M1248" s="12"/>
      <c r="N1248" s="22"/>
      <c r="O1248" s="22"/>
      <c r="P1248" s="12">
        <v>6084806.7300000004</v>
      </c>
      <c r="Q1248" s="12"/>
      <c r="R1248" s="9">
        <v>3396004.32</v>
      </c>
      <c r="S1248" s="9"/>
      <c r="T1248" s="9"/>
      <c r="U1248" s="9"/>
      <c r="V1248" s="3">
        <f>452471.86+376510.27</f>
        <v>828982.13</v>
      </c>
      <c r="W1248" s="24">
        <v>142212.16</v>
      </c>
      <c r="X1248" s="21"/>
      <c r="Y1248" s="21"/>
      <c r="Z1248" s="24">
        <f>C1248</f>
        <v>10452005.34</v>
      </c>
      <c r="AA1248" s="21"/>
      <c r="AB1248" s="24"/>
      <c r="AC1248" s="18"/>
      <c r="AD1248" s="18">
        <v>2025</v>
      </c>
      <c r="AE1248" s="18">
        <v>2025</v>
      </c>
      <c r="AF1248" s="596"/>
      <c r="AG1248" s="594"/>
    </row>
    <row r="1249" spans="1:33" s="595" customFormat="1" ht="23.25" customHeight="1">
      <c r="A1249" s="585">
        <f t="shared" si="596"/>
        <v>154</v>
      </c>
      <c r="B1249" s="20" t="s">
        <v>1168</v>
      </c>
      <c r="C1249" s="4">
        <f t="shared" si="571"/>
        <v>9378960.5</v>
      </c>
      <c r="D1249" s="9"/>
      <c r="E1249" s="21"/>
      <c r="F1249" s="21"/>
      <c r="G1249" s="12"/>
      <c r="H1249" s="13"/>
      <c r="I1249" s="13"/>
      <c r="J1249" s="18"/>
      <c r="K1249" s="645"/>
      <c r="L1249" s="12"/>
      <c r="M1249" s="12"/>
      <c r="N1249" s="22"/>
      <c r="O1249" s="22"/>
      <c r="P1249" s="12">
        <v>6208271.9199999999</v>
      </c>
      <c r="Q1249" s="12"/>
      <c r="R1249" s="9">
        <v>2598263.7599999998</v>
      </c>
      <c r="S1249" s="9"/>
      <c r="T1249" s="9"/>
      <c r="U1249" s="9"/>
      <c r="V1249" s="3">
        <f>310413.6+129913.18</f>
        <v>440326.78</v>
      </c>
      <c r="W1249" s="24">
        <f t="shared" ref="W1249" si="598">ROUND((D1249+F1249+G1249+H1249+I1249+L1249+M1249+O1249+P1249+Q1249+R1249+S1249)*1.5%,2)</f>
        <v>132098.04</v>
      </c>
      <c r="X1249" s="21"/>
      <c r="Y1249" s="21"/>
      <c r="Z1249" s="24">
        <f t="shared" ref="Z1249" si="599">C1249</f>
        <v>9378960.5</v>
      </c>
      <c r="AA1249" s="21"/>
      <c r="AB1249" s="24"/>
      <c r="AC1249" s="18"/>
      <c r="AD1249" s="18">
        <v>2025</v>
      </c>
      <c r="AE1249" s="18">
        <v>2025</v>
      </c>
      <c r="AF1249" s="596"/>
      <c r="AG1249" s="594"/>
    </row>
    <row r="1250" spans="1:33" s="595" customFormat="1" ht="24" customHeight="1">
      <c r="A1250" s="585">
        <f t="shared" si="596"/>
        <v>155</v>
      </c>
      <c r="B1250" s="20" t="s">
        <v>1116</v>
      </c>
      <c r="C1250" s="4">
        <f t="shared" si="571"/>
        <v>27084664.710000001</v>
      </c>
      <c r="D1250" s="9"/>
      <c r="E1250" s="21"/>
      <c r="F1250" s="21"/>
      <c r="G1250" s="12"/>
      <c r="H1250" s="13"/>
      <c r="I1250" s="13"/>
      <c r="J1250" s="18"/>
      <c r="K1250" s="645"/>
      <c r="L1250" s="12"/>
      <c r="M1250" s="12"/>
      <c r="N1250" s="22"/>
      <c r="O1250" s="22"/>
      <c r="P1250" s="12">
        <v>15471039.93</v>
      </c>
      <c r="Q1250" s="12"/>
      <c r="R1250" s="9">
        <v>9173429.4900000002</v>
      </c>
      <c r="S1250" s="9"/>
      <c r="T1250" s="9"/>
      <c r="U1250" s="9"/>
      <c r="V1250" s="3">
        <f>1108210.03+962318.22</f>
        <v>2070528.25</v>
      </c>
      <c r="W1250" s="24">
        <f t="shared" si="574"/>
        <v>369667.04</v>
      </c>
      <c r="X1250" s="21"/>
      <c r="Y1250" s="21"/>
      <c r="Z1250" s="24">
        <f>C1250</f>
        <v>27084664.710000001</v>
      </c>
      <c r="AA1250" s="21"/>
      <c r="AB1250" s="24"/>
      <c r="AC1250" s="18"/>
      <c r="AD1250" s="18">
        <v>2025</v>
      </c>
      <c r="AE1250" s="18">
        <v>2025</v>
      </c>
      <c r="AF1250" s="596"/>
      <c r="AG1250" s="594"/>
    </row>
    <row r="1251" spans="1:33" s="595" customFormat="1" ht="24" customHeight="1">
      <c r="A1251" s="585">
        <f t="shared" si="596"/>
        <v>156</v>
      </c>
      <c r="B1251" s="586" t="s">
        <v>602</v>
      </c>
      <c r="C1251" s="587">
        <f t="shared" si="571"/>
        <v>634142.55000000005</v>
      </c>
      <c r="D1251" s="581"/>
      <c r="E1251" s="581"/>
      <c r="F1251" s="581"/>
      <c r="G1251" s="578">
        <v>188740.09</v>
      </c>
      <c r="H1251" s="580">
        <v>406698.92</v>
      </c>
      <c r="I1251" s="582"/>
      <c r="J1251" s="585"/>
      <c r="K1251" s="577"/>
      <c r="L1251" s="578"/>
      <c r="M1251" s="579"/>
      <c r="N1251" s="579"/>
      <c r="O1251" s="579"/>
      <c r="P1251" s="579"/>
      <c r="Q1251" s="578"/>
      <c r="R1251" s="580"/>
      <c r="S1251" s="580"/>
      <c r="T1251" s="580"/>
      <c r="U1251" s="580"/>
      <c r="V1251" s="583">
        <v>29771.95</v>
      </c>
      <c r="W1251" s="584">
        <f t="shared" si="574"/>
        <v>8931.59</v>
      </c>
      <c r="X1251" s="581"/>
      <c r="Y1251" s="581"/>
      <c r="Z1251" s="581"/>
      <c r="AA1251" s="581"/>
      <c r="AB1251" s="584">
        <f t="shared" si="572"/>
        <v>634142.55000000005</v>
      </c>
      <c r="AC1251" s="585"/>
      <c r="AD1251" s="585">
        <v>2025</v>
      </c>
      <c r="AE1251" s="585">
        <v>2026</v>
      </c>
      <c r="AF1251" s="594"/>
      <c r="AG1251" s="594"/>
    </row>
    <row r="1252" spans="1:33" s="595" customFormat="1" ht="24" customHeight="1">
      <c r="A1252" s="585">
        <f t="shared" si="596"/>
        <v>157</v>
      </c>
      <c r="B1252" s="586" t="s">
        <v>1044</v>
      </c>
      <c r="C1252" s="587">
        <f t="shared" si="571"/>
        <v>7699915.9199999999</v>
      </c>
      <c r="D1252" s="580"/>
      <c r="E1252" s="581"/>
      <c r="F1252" s="581"/>
      <c r="G1252" s="578"/>
      <c r="H1252" s="582"/>
      <c r="I1252" s="582"/>
      <c r="J1252" s="585"/>
      <c r="K1252" s="593"/>
      <c r="L1252" s="578"/>
      <c r="M1252" s="578"/>
      <c r="N1252" s="579">
        <v>2</v>
      </c>
      <c r="O1252" s="598">
        <f>3614984*N1252</f>
        <v>7229968</v>
      </c>
      <c r="P1252" s="578"/>
      <c r="Q1252" s="578"/>
      <c r="R1252" s="580"/>
      <c r="S1252" s="580"/>
      <c r="T1252" s="580"/>
      <c r="U1252" s="580"/>
      <c r="V1252" s="583">
        <v>361498.4</v>
      </c>
      <c r="W1252" s="584">
        <v>108449.52</v>
      </c>
      <c r="X1252" s="581"/>
      <c r="Y1252" s="581"/>
      <c r="Z1252" s="581"/>
      <c r="AA1252" s="581"/>
      <c r="AB1252" s="584">
        <f t="shared" si="572"/>
        <v>7699915.9199999999</v>
      </c>
      <c r="AC1252" s="585"/>
      <c r="AD1252" s="585">
        <v>2025</v>
      </c>
      <c r="AE1252" s="585">
        <v>2026</v>
      </c>
      <c r="AF1252" s="594"/>
      <c r="AG1252" s="594"/>
    </row>
    <row r="1253" spans="1:33" s="595" customFormat="1" ht="24" customHeight="1">
      <c r="A1253" s="585">
        <f t="shared" si="596"/>
        <v>158</v>
      </c>
      <c r="B1253" s="586" t="s">
        <v>1045</v>
      </c>
      <c r="C1253" s="587">
        <f t="shared" si="571"/>
        <v>27526660.890000001</v>
      </c>
      <c r="D1253" s="580"/>
      <c r="E1253" s="581"/>
      <c r="F1253" s="581"/>
      <c r="G1253" s="578"/>
      <c r="H1253" s="582"/>
      <c r="I1253" s="582"/>
      <c r="J1253" s="585"/>
      <c r="K1253" s="593"/>
      <c r="L1253" s="578"/>
      <c r="M1253" s="579"/>
      <c r="N1253" s="579"/>
      <c r="O1253" s="579"/>
      <c r="P1253" s="598">
        <v>14505729.84</v>
      </c>
      <c r="Q1253" s="578"/>
      <c r="R1253" s="580">
        <f>ROUND(3269*3435.59,2)</f>
        <v>11230943.710000001</v>
      </c>
      <c r="S1253" s="580"/>
      <c r="T1253" s="580"/>
      <c r="U1253" s="580"/>
      <c r="V1253" s="583">
        <f>678650.4+725286.84</f>
        <v>1403937.24</v>
      </c>
      <c r="W1253" s="584">
        <f t="shared" si="574"/>
        <v>386050.1</v>
      </c>
      <c r="X1253" s="581"/>
      <c r="Y1253" s="581"/>
      <c r="Z1253" s="581"/>
      <c r="AA1253" s="581"/>
      <c r="AB1253" s="584">
        <f t="shared" si="572"/>
        <v>27526660.890000001</v>
      </c>
      <c r="AC1253" s="585"/>
      <c r="AD1253" s="585">
        <v>2025</v>
      </c>
      <c r="AE1253" s="585">
        <v>2026</v>
      </c>
      <c r="AF1253" s="594"/>
      <c r="AG1253" s="594"/>
    </row>
    <row r="1254" spans="1:33" s="595" customFormat="1" ht="24" customHeight="1">
      <c r="A1254" s="585">
        <f t="shared" si="596"/>
        <v>159</v>
      </c>
      <c r="B1254" s="20" t="s">
        <v>935</v>
      </c>
      <c r="C1254" s="4">
        <f t="shared" si="571"/>
        <v>21334933.309999999</v>
      </c>
      <c r="D1254" s="9"/>
      <c r="E1254" s="21"/>
      <c r="F1254" s="21"/>
      <c r="G1254" s="12"/>
      <c r="H1254" s="13"/>
      <c r="I1254" s="13"/>
      <c r="J1254" s="18"/>
      <c r="K1254" s="3"/>
      <c r="L1254" s="12"/>
      <c r="M1254" s="22"/>
      <c r="N1254" s="22"/>
      <c r="O1254" s="22"/>
      <c r="P1254" s="22"/>
      <c r="Q1254" s="12"/>
      <c r="R1254" s="9">
        <f>ROUND(5873.3*3435.59,2)</f>
        <v>20178250.75</v>
      </c>
      <c r="S1254" s="9"/>
      <c r="T1254" s="108"/>
      <c r="U1254" s="108"/>
      <c r="V1254" s="3">
        <v>854008.8</v>
      </c>
      <c r="W1254" s="24">
        <f t="shared" si="574"/>
        <v>302673.76</v>
      </c>
      <c r="X1254" s="21"/>
      <c r="Y1254" s="21"/>
      <c r="Z1254" s="21"/>
      <c r="AA1254" s="21"/>
      <c r="AB1254" s="24">
        <f>C1254</f>
        <v>21334933.309999999</v>
      </c>
      <c r="AC1254" s="18"/>
      <c r="AD1254" s="18">
        <v>2025</v>
      </c>
      <c r="AE1254" s="18">
        <v>2025</v>
      </c>
      <c r="AF1254" s="596"/>
      <c r="AG1254" s="594"/>
    </row>
    <row r="1255" spans="1:33" s="26" customFormat="1" ht="24" customHeight="1">
      <c r="A1255" s="585">
        <f t="shared" si="596"/>
        <v>160</v>
      </c>
      <c r="B1255" s="586" t="s">
        <v>1317</v>
      </c>
      <c r="C1255" s="587">
        <f t="shared" si="571"/>
        <v>1861001.14</v>
      </c>
      <c r="D1255" s="580"/>
      <c r="E1255" s="640">
        <v>1</v>
      </c>
      <c r="F1255" s="589">
        <v>1612809</v>
      </c>
      <c r="G1255" s="588"/>
      <c r="H1255" s="589"/>
      <c r="I1255" s="589"/>
      <c r="J1255" s="589"/>
      <c r="K1255" s="589"/>
      <c r="L1255" s="588"/>
      <c r="M1255" s="588"/>
      <c r="N1255" s="588"/>
      <c r="O1255" s="588"/>
      <c r="P1255" s="589"/>
      <c r="Q1255" s="589"/>
      <c r="R1255" s="589"/>
      <c r="S1255" s="589"/>
      <c r="T1255" s="589"/>
      <c r="U1255" s="589"/>
      <c r="V1255" s="843">
        <v>224000</v>
      </c>
      <c r="W1255" s="789">
        <v>24192.14</v>
      </c>
      <c r="X1255" s="589"/>
      <c r="Y1255" s="581"/>
      <c r="Z1255" s="581"/>
      <c r="AA1255" s="581"/>
      <c r="AB1255" s="584">
        <f t="shared" ref="AB1255" si="600">C1255</f>
        <v>1861001.14</v>
      </c>
      <c r="AC1255" s="585"/>
      <c r="AD1255" s="585">
        <v>2025</v>
      </c>
      <c r="AE1255" s="585">
        <v>2026</v>
      </c>
      <c r="AF1255" s="91"/>
      <c r="AG1255" s="91"/>
    </row>
    <row r="1256" spans="1:33" s="26" customFormat="1" ht="24" customHeight="1">
      <c r="A1256" s="585">
        <f t="shared" si="596"/>
        <v>161</v>
      </c>
      <c r="B1256" s="20" t="s">
        <v>1147</v>
      </c>
      <c r="C1256" s="4">
        <f t="shared" si="571"/>
        <v>10628700</v>
      </c>
      <c r="D1256" s="9"/>
      <c r="E1256" s="21"/>
      <c r="F1256" s="21"/>
      <c r="G1256" s="12"/>
      <c r="H1256" s="13"/>
      <c r="I1256" s="13"/>
      <c r="J1256" s="18"/>
      <c r="K1256" s="645"/>
      <c r="L1256" s="12"/>
      <c r="M1256" s="22"/>
      <c r="N1256" s="657">
        <v>3</v>
      </c>
      <c r="O1256" s="46">
        <f>3333000*N1256</f>
        <v>9999000</v>
      </c>
      <c r="P1256" s="22"/>
      <c r="Q1256" s="12"/>
      <c r="R1256" s="9"/>
      <c r="S1256" s="9"/>
      <c r="T1256" s="9"/>
      <c r="U1256" s="9"/>
      <c r="V1256" s="3">
        <v>480000</v>
      </c>
      <c r="W1256" s="24">
        <v>149700</v>
      </c>
      <c r="X1256" s="21"/>
      <c r="Y1256" s="21"/>
      <c r="Z1256" s="24">
        <f>C1256</f>
        <v>10628700</v>
      </c>
      <c r="AA1256" s="21"/>
      <c r="AB1256" s="24"/>
      <c r="AC1256" s="18"/>
      <c r="AD1256" s="18">
        <v>2025</v>
      </c>
      <c r="AE1256" s="18">
        <v>2025</v>
      </c>
      <c r="AF1256" s="91"/>
      <c r="AG1256" s="91"/>
    </row>
    <row r="1257" spans="1:33" s="595" customFormat="1" ht="24" customHeight="1">
      <c r="A1257" s="585">
        <f t="shared" si="596"/>
        <v>162</v>
      </c>
      <c r="B1257" s="586" t="s">
        <v>1046</v>
      </c>
      <c r="C1257" s="587">
        <f t="shared" si="571"/>
        <v>3849957.96</v>
      </c>
      <c r="D1257" s="580"/>
      <c r="E1257" s="581"/>
      <c r="F1257" s="581"/>
      <c r="G1257" s="578"/>
      <c r="H1257" s="582"/>
      <c r="I1257" s="582"/>
      <c r="J1257" s="585"/>
      <c r="K1257" s="583"/>
      <c r="L1257" s="578"/>
      <c r="M1257" s="579"/>
      <c r="N1257" s="579">
        <v>1</v>
      </c>
      <c r="O1257" s="598">
        <v>3614984</v>
      </c>
      <c r="P1257" s="579"/>
      <c r="Q1257" s="578"/>
      <c r="R1257" s="580"/>
      <c r="S1257" s="580"/>
      <c r="T1257" s="580"/>
      <c r="U1257" s="580"/>
      <c r="V1257" s="583">
        <v>180749.2</v>
      </c>
      <c r="W1257" s="584">
        <v>54224.76</v>
      </c>
      <c r="X1257" s="581"/>
      <c r="Y1257" s="581"/>
      <c r="Z1257" s="581"/>
      <c r="AA1257" s="581"/>
      <c r="AB1257" s="584">
        <f t="shared" ref="AB1257:AB1259" si="601">C1257</f>
        <v>3849957.96</v>
      </c>
      <c r="AC1257" s="585"/>
      <c r="AD1257" s="585">
        <v>2025</v>
      </c>
      <c r="AE1257" s="585">
        <v>2026</v>
      </c>
      <c r="AF1257" s="594"/>
      <c r="AG1257" s="594"/>
    </row>
    <row r="1258" spans="1:33" s="595" customFormat="1" ht="24" customHeight="1">
      <c r="A1258" s="585">
        <f t="shared" si="596"/>
        <v>163</v>
      </c>
      <c r="B1258" s="586" t="s">
        <v>1047</v>
      </c>
      <c r="C1258" s="587">
        <f t="shared" si="571"/>
        <v>7699915.9199999999</v>
      </c>
      <c r="D1258" s="580"/>
      <c r="E1258" s="581"/>
      <c r="F1258" s="581"/>
      <c r="G1258" s="578"/>
      <c r="H1258" s="582"/>
      <c r="I1258" s="582"/>
      <c r="J1258" s="585"/>
      <c r="K1258" s="583"/>
      <c r="L1258" s="578"/>
      <c r="M1258" s="579"/>
      <c r="N1258" s="579">
        <v>2</v>
      </c>
      <c r="O1258" s="598">
        <f>3614984*N1258</f>
        <v>7229968</v>
      </c>
      <c r="P1258" s="579"/>
      <c r="Q1258" s="578"/>
      <c r="R1258" s="580"/>
      <c r="S1258" s="580"/>
      <c r="T1258" s="580"/>
      <c r="U1258" s="580"/>
      <c r="V1258" s="583">
        <v>361498.4</v>
      </c>
      <c r="W1258" s="584">
        <v>108449.52</v>
      </c>
      <c r="X1258" s="581"/>
      <c r="Y1258" s="581"/>
      <c r="Z1258" s="581"/>
      <c r="AA1258" s="581"/>
      <c r="AB1258" s="584">
        <f t="shared" si="601"/>
        <v>7699915.9199999999</v>
      </c>
      <c r="AC1258" s="585"/>
      <c r="AD1258" s="585">
        <v>2025</v>
      </c>
      <c r="AE1258" s="585">
        <v>2026</v>
      </c>
      <c r="AF1258" s="594"/>
      <c r="AG1258" s="594"/>
    </row>
    <row r="1259" spans="1:33" s="595" customFormat="1" ht="24" customHeight="1">
      <c r="A1259" s="585">
        <f t="shared" si="596"/>
        <v>164</v>
      </c>
      <c r="B1259" s="586" t="s">
        <v>1048</v>
      </c>
      <c r="C1259" s="587">
        <f t="shared" si="571"/>
        <v>1861001.14</v>
      </c>
      <c r="D1259" s="580"/>
      <c r="E1259" s="640">
        <v>1</v>
      </c>
      <c r="F1259" s="589">
        <v>1612809</v>
      </c>
      <c r="G1259" s="588"/>
      <c r="H1259" s="589"/>
      <c r="I1259" s="589"/>
      <c r="J1259" s="589"/>
      <c r="K1259" s="589"/>
      <c r="L1259" s="588"/>
      <c r="M1259" s="588"/>
      <c r="N1259" s="588"/>
      <c r="O1259" s="588"/>
      <c r="P1259" s="589"/>
      <c r="Q1259" s="589"/>
      <c r="R1259" s="589"/>
      <c r="S1259" s="589"/>
      <c r="T1259" s="589"/>
      <c r="U1259" s="589"/>
      <c r="V1259" s="590">
        <v>224000</v>
      </c>
      <c r="W1259" s="584">
        <v>24192.14</v>
      </c>
      <c r="X1259" s="589"/>
      <c r="Y1259" s="581"/>
      <c r="Z1259" s="581"/>
      <c r="AA1259" s="581"/>
      <c r="AB1259" s="584">
        <f t="shared" si="601"/>
        <v>1861001.14</v>
      </c>
      <c r="AC1259" s="585"/>
      <c r="AD1259" s="585">
        <v>2025</v>
      </c>
      <c r="AE1259" s="585">
        <v>2026</v>
      </c>
      <c r="AF1259" s="594"/>
      <c r="AG1259" s="594"/>
    </row>
    <row r="1260" spans="1:33" s="595" customFormat="1" ht="24" customHeight="1">
      <c r="A1260" s="585">
        <f t="shared" si="596"/>
        <v>165</v>
      </c>
      <c r="B1260" s="20" t="s">
        <v>293</v>
      </c>
      <c r="C1260" s="4">
        <f t="shared" si="571"/>
        <v>22038407.57</v>
      </c>
      <c r="D1260" s="9"/>
      <c r="E1260" s="21"/>
      <c r="F1260" s="21"/>
      <c r="G1260" s="12"/>
      <c r="H1260" s="13"/>
      <c r="I1260" s="13"/>
      <c r="J1260" s="18"/>
      <c r="K1260" s="3"/>
      <c r="L1260" s="12"/>
      <c r="M1260" s="22"/>
      <c r="N1260" s="22"/>
      <c r="O1260" s="22"/>
      <c r="P1260" s="22"/>
      <c r="Q1260" s="12">
        <f>ROUND(3839.4*706.71,2)</f>
        <v>2713342.37</v>
      </c>
      <c r="R1260" s="9">
        <f>ROUND(3839.4*3435.59,2)</f>
        <v>13190604.25</v>
      </c>
      <c r="S1260" s="9">
        <f>ROUND(3839.4*1135.41,2)</f>
        <v>4359293.1500000004</v>
      </c>
      <c r="T1260" s="108"/>
      <c r="U1260" s="108"/>
      <c r="V1260" s="3">
        <v>1471219.2</v>
      </c>
      <c r="W1260" s="24">
        <f t="shared" si="574"/>
        <v>303948.59999999998</v>
      </c>
      <c r="X1260" s="21"/>
      <c r="Y1260" s="21"/>
      <c r="Z1260" s="21"/>
      <c r="AA1260" s="21"/>
      <c r="AB1260" s="24">
        <f t="shared" si="572"/>
        <v>22038407.57</v>
      </c>
      <c r="AC1260" s="18"/>
      <c r="AD1260" s="18">
        <v>2025</v>
      </c>
      <c r="AE1260" s="18">
        <v>2025</v>
      </c>
      <c r="AF1260" s="596"/>
      <c r="AG1260" s="594"/>
    </row>
    <row r="1261" spans="1:33" s="595" customFormat="1" ht="24" customHeight="1">
      <c r="A1261" s="585">
        <f t="shared" si="596"/>
        <v>166</v>
      </c>
      <c r="B1261" s="586" t="s">
        <v>294</v>
      </c>
      <c r="C1261" s="587">
        <f t="shared" si="571"/>
        <v>53835222.719999999</v>
      </c>
      <c r="D1261" s="580"/>
      <c r="E1261" s="581"/>
      <c r="F1261" s="581"/>
      <c r="G1261" s="578"/>
      <c r="H1261" s="582"/>
      <c r="I1261" s="582"/>
      <c r="J1261" s="585"/>
      <c r="K1261" s="583"/>
      <c r="L1261" s="578"/>
      <c r="M1261" s="579"/>
      <c r="N1261" s="579"/>
      <c r="O1261" s="579"/>
      <c r="P1261" s="598">
        <v>22977093.82</v>
      </c>
      <c r="Q1261" s="578">
        <f>ROUND(5178.1*706.71,2)</f>
        <v>3659415.05</v>
      </c>
      <c r="R1261" s="580">
        <f>ROUND(5178.1*3435.59,2)</f>
        <v>17789828.579999998</v>
      </c>
      <c r="S1261" s="580">
        <f>ROUND(5178.1*1135.41,2)</f>
        <v>5879266.5199999996</v>
      </c>
      <c r="T1261" s="580"/>
      <c r="U1261" s="580"/>
      <c r="V1261" s="583">
        <f>1626180+1148854.69</f>
        <v>2775034.69</v>
      </c>
      <c r="W1261" s="584">
        <f>ROUND((D1261+F1261+G1261+H1261+I1261+L1261+M1261+O1261+P1261+Q1261+R1261+S1261)*1.5%,2)</f>
        <v>754584.06</v>
      </c>
      <c r="X1261" s="581"/>
      <c r="Y1261" s="581"/>
      <c r="Z1261" s="581"/>
      <c r="AA1261" s="581"/>
      <c r="AB1261" s="584">
        <f t="shared" si="572"/>
        <v>53835222.719999999</v>
      </c>
      <c r="AC1261" s="585"/>
      <c r="AD1261" s="585">
        <v>2025</v>
      </c>
      <c r="AE1261" s="585">
        <v>2025</v>
      </c>
      <c r="AF1261" s="594"/>
      <c r="AG1261" s="594"/>
    </row>
    <row r="1262" spans="1:33" s="595" customFormat="1" ht="24" customHeight="1">
      <c r="A1262" s="585">
        <f t="shared" si="596"/>
        <v>167</v>
      </c>
      <c r="B1262" s="586" t="s">
        <v>1049</v>
      </c>
      <c r="C1262" s="587">
        <f t="shared" si="571"/>
        <v>5133276.57</v>
      </c>
      <c r="D1262" s="580"/>
      <c r="E1262" s="581"/>
      <c r="F1262" s="581"/>
      <c r="G1262" s="578"/>
      <c r="H1262" s="582"/>
      <c r="I1262" s="582"/>
      <c r="J1262" s="585"/>
      <c r="K1262" s="583"/>
      <c r="L1262" s="578"/>
      <c r="M1262" s="579"/>
      <c r="N1262" s="579">
        <v>1</v>
      </c>
      <c r="O1262" s="598">
        <v>4819978</v>
      </c>
      <c r="P1262" s="579"/>
      <c r="Q1262" s="578"/>
      <c r="R1262" s="580"/>
      <c r="S1262" s="580"/>
      <c r="T1262" s="580"/>
      <c r="U1262" s="580"/>
      <c r="V1262" s="583">
        <v>240998.9</v>
      </c>
      <c r="W1262" s="584">
        <v>72299.67</v>
      </c>
      <c r="X1262" s="581"/>
      <c r="Y1262" s="581"/>
      <c r="Z1262" s="581"/>
      <c r="AA1262" s="581"/>
      <c r="AB1262" s="584">
        <f t="shared" si="572"/>
        <v>5133276.57</v>
      </c>
      <c r="AC1262" s="585"/>
      <c r="AD1262" s="585">
        <v>2025</v>
      </c>
      <c r="AE1262" s="585">
        <v>2026</v>
      </c>
      <c r="AF1262" s="594"/>
      <c r="AG1262" s="594"/>
    </row>
    <row r="1263" spans="1:33" s="595" customFormat="1" ht="24" customHeight="1">
      <c r="A1263" s="585">
        <f t="shared" si="596"/>
        <v>168</v>
      </c>
      <c r="B1263" s="586" t="s">
        <v>295</v>
      </c>
      <c r="C1263" s="587">
        <f t="shared" si="571"/>
        <v>39797811.460000001</v>
      </c>
      <c r="D1263" s="580"/>
      <c r="E1263" s="581"/>
      <c r="F1263" s="581"/>
      <c r="G1263" s="578"/>
      <c r="H1263" s="582"/>
      <c r="I1263" s="582"/>
      <c r="J1263" s="585"/>
      <c r="K1263" s="583"/>
      <c r="L1263" s="578"/>
      <c r="M1263" s="579"/>
      <c r="N1263" s="579"/>
      <c r="O1263" s="579"/>
      <c r="P1263" s="598">
        <v>20952326.449999999</v>
      </c>
      <c r="Q1263" s="578"/>
      <c r="R1263" s="580">
        <f>ROUND(4721.8*3435.59,2)</f>
        <v>16222168.859999999</v>
      </c>
      <c r="S1263" s="580"/>
      <c r="T1263" s="580"/>
      <c r="U1263" s="580"/>
      <c r="V1263" s="583">
        <f>1018082.4+1047616.32</f>
        <v>2065698.72</v>
      </c>
      <c r="W1263" s="584">
        <f t="shared" ref="W1263" si="602">ROUND((D1263+F1263+G1263+H1263+I1263+L1263+M1263+O1263+P1263+Q1263+R1263+S1263)*1.5%,2)</f>
        <v>557617.43000000005</v>
      </c>
      <c r="X1263" s="581"/>
      <c r="Y1263" s="581"/>
      <c r="Z1263" s="581"/>
      <c r="AA1263" s="581"/>
      <c r="AB1263" s="584">
        <f t="shared" si="572"/>
        <v>39797811.460000001</v>
      </c>
      <c r="AC1263" s="585"/>
      <c r="AD1263" s="585">
        <v>2025</v>
      </c>
      <c r="AE1263" s="585">
        <v>2025</v>
      </c>
      <c r="AF1263" s="594"/>
      <c r="AG1263" s="594"/>
    </row>
    <row r="1264" spans="1:33" s="595" customFormat="1" ht="24" customHeight="1">
      <c r="A1264" s="585">
        <f t="shared" si="596"/>
        <v>169</v>
      </c>
      <c r="B1264" s="20" t="s">
        <v>296</v>
      </c>
      <c r="C1264" s="4">
        <f t="shared" si="571"/>
        <v>8672024.6899999995</v>
      </c>
      <c r="D1264" s="9"/>
      <c r="E1264" s="21"/>
      <c r="F1264" s="21"/>
      <c r="G1264" s="12"/>
      <c r="H1264" s="13"/>
      <c r="I1264" s="13"/>
      <c r="J1264" s="18"/>
      <c r="K1264" s="3"/>
      <c r="L1264" s="12"/>
      <c r="M1264" s="22"/>
      <c r="N1264" s="22"/>
      <c r="O1264" s="22"/>
      <c r="P1264" s="12">
        <f>ROUND(1308.7*5975.33,2)</f>
        <v>7819914.3700000001</v>
      </c>
      <c r="Q1264" s="12"/>
      <c r="R1264" s="9"/>
      <c r="S1264" s="9"/>
      <c r="T1264" s="108"/>
      <c r="U1264" s="108"/>
      <c r="V1264" s="3">
        <v>734811.6</v>
      </c>
      <c r="W1264" s="24">
        <f t="shared" si="574"/>
        <v>117298.72</v>
      </c>
      <c r="X1264" s="21"/>
      <c r="Y1264" s="21"/>
      <c r="Z1264" s="21"/>
      <c r="AA1264" s="21"/>
      <c r="AB1264" s="24">
        <f t="shared" si="572"/>
        <v>8672024.6899999995</v>
      </c>
      <c r="AC1264" s="18"/>
      <c r="AD1264" s="18">
        <v>2025</v>
      </c>
      <c r="AE1264" s="18">
        <v>2025</v>
      </c>
      <c r="AF1264" s="596"/>
      <c r="AG1264" s="594"/>
    </row>
    <row r="1265" spans="1:33" s="595" customFormat="1" ht="24" customHeight="1">
      <c r="A1265" s="585">
        <f t="shared" si="596"/>
        <v>170</v>
      </c>
      <c r="B1265" s="586" t="s">
        <v>1050</v>
      </c>
      <c r="C1265" s="587">
        <f t="shared" si="571"/>
        <v>27995053.73</v>
      </c>
      <c r="D1265" s="580"/>
      <c r="E1265" s="581"/>
      <c r="F1265" s="581"/>
      <c r="G1265" s="578"/>
      <c r="H1265" s="582"/>
      <c r="I1265" s="582"/>
      <c r="J1265" s="585"/>
      <c r="K1265" s="583"/>
      <c r="L1265" s="578"/>
      <c r="M1265" s="579"/>
      <c r="N1265" s="579"/>
      <c r="O1265" s="579"/>
      <c r="P1265" s="578">
        <v>11239695.16</v>
      </c>
      <c r="Q1265" s="578"/>
      <c r="R1265" s="580">
        <v>15046740.27</v>
      </c>
      <c r="S1265" s="580"/>
      <c r="T1265" s="580"/>
      <c r="U1265" s="580"/>
      <c r="V1265" s="583">
        <f>752337.01+561984.76</f>
        <v>1314321.77</v>
      </c>
      <c r="W1265" s="584">
        <f>225701.1+168595.43</f>
        <v>394296.53</v>
      </c>
      <c r="X1265" s="581"/>
      <c r="Y1265" s="581"/>
      <c r="Z1265" s="581"/>
      <c r="AA1265" s="581"/>
      <c r="AB1265" s="584">
        <f t="shared" si="572"/>
        <v>27995053.73</v>
      </c>
      <c r="AC1265" s="585"/>
      <c r="AD1265" s="585">
        <v>2025</v>
      </c>
      <c r="AE1265" s="585">
        <v>2026</v>
      </c>
      <c r="AF1265" s="594"/>
      <c r="AG1265" s="594"/>
    </row>
    <row r="1266" spans="1:33" s="26" customFormat="1" ht="24" customHeight="1">
      <c r="A1266" s="585">
        <f t="shared" si="596"/>
        <v>171</v>
      </c>
      <c r="B1266" s="20" t="s">
        <v>1169</v>
      </c>
      <c r="C1266" s="4">
        <f t="shared" si="571"/>
        <v>1861001.14</v>
      </c>
      <c r="D1266" s="9"/>
      <c r="E1266" s="401">
        <v>1</v>
      </c>
      <c r="F1266" s="69">
        <v>1612809</v>
      </c>
      <c r="G1266" s="710"/>
      <c r="H1266" s="69"/>
      <c r="I1266" s="69"/>
      <c r="J1266" s="69"/>
      <c r="K1266" s="69"/>
      <c r="L1266" s="710"/>
      <c r="M1266" s="710"/>
      <c r="N1266" s="710"/>
      <c r="O1266" s="710"/>
      <c r="P1266" s="69"/>
      <c r="Q1266" s="69"/>
      <c r="R1266" s="69"/>
      <c r="S1266" s="69"/>
      <c r="T1266" s="69"/>
      <c r="U1266" s="69"/>
      <c r="V1266" s="129">
        <v>224000</v>
      </c>
      <c r="W1266" s="24">
        <v>24192.14</v>
      </c>
      <c r="X1266" s="69"/>
      <c r="Y1266" s="21"/>
      <c r="Z1266" s="21"/>
      <c r="AA1266" s="21"/>
      <c r="AB1266" s="24">
        <f t="shared" si="572"/>
        <v>1861001.14</v>
      </c>
      <c r="AC1266" s="18"/>
      <c r="AD1266" s="18">
        <v>2025</v>
      </c>
      <c r="AE1266" s="18">
        <v>2026</v>
      </c>
      <c r="AF1266" s="91"/>
      <c r="AG1266" s="91"/>
    </row>
    <row r="1267" spans="1:33" s="595" customFormat="1" ht="24" customHeight="1">
      <c r="A1267" s="585">
        <f t="shared" si="596"/>
        <v>172</v>
      </c>
      <c r="B1267" s="586" t="s">
        <v>609</v>
      </c>
      <c r="C1267" s="587">
        <f t="shared" si="571"/>
        <v>4924297.9400000004</v>
      </c>
      <c r="D1267" s="580"/>
      <c r="E1267" s="581"/>
      <c r="F1267" s="581"/>
      <c r="G1267" s="578">
        <v>2128440.9</v>
      </c>
      <c r="H1267" s="580">
        <v>2495313.0299999998</v>
      </c>
      <c r="I1267" s="582"/>
      <c r="J1267" s="585"/>
      <c r="K1267" s="577"/>
      <c r="L1267" s="578"/>
      <c r="M1267" s="579"/>
      <c r="N1267" s="579"/>
      <c r="O1267" s="579"/>
      <c r="P1267" s="579"/>
      <c r="Q1267" s="578"/>
      <c r="R1267" s="580"/>
      <c r="S1267" s="580"/>
      <c r="T1267" s="580"/>
      <c r="U1267" s="580"/>
      <c r="V1267" s="583">
        <v>231187.7</v>
      </c>
      <c r="W1267" s="584">
        <f t="shared" ref="W1267" si="603">ROUND((D1267+F1267+G1267+H1267+I1267+L1267+M1267+O1267+P1267+Q1267+R1267+S1267)*1.5%,2)</f>
        <v>69356.31</v>
      </c>
      <c r="X1267" s="581"/>
      <c r="Y1267" s="581"/>
      <c r="Z1267" s="581"/>
      <c r="AA1267" s="581"/>
      <c r="AB1267" s="584">
        <f t="shared" si="572"/>
        <v>4924297.9400000004</v>
      </c>
      <c r="AC1267" s="585"/>
      <c r="AD1267" s="585">
        <v>2025</v>
      </c>
      <c r="AE1267" s="585">
        <v>2026</v>
      </c>
      <c r="AF1267" s="594"/>
      <c r="AG1267" s="594"/>
    </row>
    <row r="1268" spans="1:33" s="595" customFormat="1" ht="24" customHeight="1">
      <c r="A1268" s="585">
        <f t="shared" si="596"/>
        <v>173</v>
      </c>
      <c r="B1268" s="20" t="s">
        <v>297</v>
      </c>
      <c r="C1268" s="4">
        <f t="shared" si="571"/>
        <v>9658293.8800000008</v>
      </c>
      <c r="D1268" s="9"/>
      <c r="E1268" s="21"/>
      <c r="F1268" s="21"/>
      <c r="G1268" s="12">
        <v>743745.5</v>
      </c>
      <c r="H1268" s="13">
        <f>ROUND(1247.1*1074.75,2)</f>
        <v>1340320.73</v>
      </c>
      <c r="I1268" s="13">
        <f>ROUND(1247.1*4857.9,2)</f>
        <v>6058287.0899999999</v>
      </c>
      <c r="J1268" s="18"/>
      <c r="K1268" s="3"/>
      <c r="L1268" s="12">
        <f>ROUND(1247.1*616.25,2)</f>
        <v>768525.38</v>
      </c>
      <c r="M1268" s="22"/>
      <c r="N1268" s="22"/>
      <c r="O1268" s="22"/>
      <c r="P1268" s="22"/>
      <c r="Q1268" s="12"/>
      <c r="R1268" s="9"/>
      <c r="S1268" s="9"/>
      <c r="T1268" s="108"/>
      <c r="U1268" s="108"/>
      <c r="V1268" s="3">
        <v>613752</v>
      </c>
      <c r="W1268" s="24">
        <f t="shared" si="574"/>
        <v>133663.18</v>
      </c>
      <c r="X1268" s="21"/>
      <c r="Y1268" s="21"/>
      <c r="Z1268" s="21"/>
      <c r="AA1268" s="21"/>
      <c r="AB1268" s="24">
        <f t="shared" si="572"/>
        <v>9658293.8800000008</v>
      </c>
      <c r="AC1268" s="18"/>
      <c r="AD1268" s="18">
        <v>2025</v>
      </c>
      <c r="AE1268" s="18">
        <v>2025</v>
      </c>
      <c r="AF1268" s="596"/>
      <c r="AG1268" s="594"/>
    </row>
    <row r="1269" spans="1:33" s="595" customFormat="1" ht="24" customHeight="1">
      <c r="A1269" s="585">
        <f t="shared" si="596"/>
        <v>174</v>
      </c>
      <c r="B1269" s="20" t="s">
        <v>298</v>
      </c>
      <c r="C1269" s="4">
        <f t="shared" si="571"/>
        <v>21381181.09</v>
      </c>
      <c r="D1269" s="9"/>
      <c r="E1269" s="21"/>
      <c r="F1269" s="21"/>
      <c r="G1269" s="12"/>
      <c r="H1269" s="13"/>
      <c r="I1269" s="13"/>
      <c r="J1269" s="18"/>
      <c r="K1269" s="3"/>
      <c r="L1269" s="12"/>
      <c r="M1269" s="22"/>
      <c r="N1269" s="22"/>
      <c r="O1269" s="22"/>
      <c r="P1269" s="12">
        <f>ROUND(5120.1*3855.19,2)</f>
        <v>19738958.32</v>
      </c>
      <c r="Q1269" s="12"/>
      <c r="R1269" s="9"/>
      <c r="S1269" s="9"/>
      <c r="T1269" s="108"/>
      <c r="U1269" s="108"/>
      <c r="V1269" s="3">
        <v>1346138.4</v>
      </c>
      <c r="W1269" s="24">
        <f t="shared" si="574"/>
        <v>296084.37</v>
      </c>
      <c r="X1269" s="21"/>
      <c r="Y1269" s="21"/>
      <c r="Z1269" s="21"/>
      <c r="AA1269" s="21"/>
      <c r="AB1269" s="24">
        <f t="shared" si="572"/>
        <v>21381181.09</v>
      </c>
      <c r="AC1269" s="18"/>
      <c r="AD1269" s="18">
        <v>2025</v>
      </c>
      <c r="AE1269" s="18">
        <v>2025</v>
      </c>
      <c r="AF1269" s="596"/>
      <c r="AG1269" s="594"/>
    </row>
    <row r="1270" spans="1:33" s="26" customFormat="1" ht="24" customHeight="1">
      <c r="A1270" s="585">
        <f t="shared" si="596"/>
        <v>175</v>
      </c>
      <c r="B1270" s="586" t="s">
        <v>299</v>
      </c>
      <c r="C1270" s="587">
        <f t="shared" si="571"/>
        <v>15475206.92</v>
      </c>
      <c r="D1270" s="580"/>
      <c r="E1270" s="581"/>
      <c r="F1270" s="581"/>
      <c r="G1270" s="578"/>
      <c r="H1270" s="582"/>
      <c r="I1270" s="582">
        <f>ROUND(1235.6*4857.9,2)</f>
        <v>6002421.2400000002</v>
      </c>
      <c r="J1270" s="585"/>
      <c r="K1270" s="583"/>
      <c r="L1270" s="578">
        <f>ROUND(1235.6*616.25,2)</f>
        <v>761438.5</v>
      </c>
      <c r="M1270" s="579"/>
      <c r="N1270" s="579"/>
      <c r="O1270" s="579"/>
      <c r="P1270" s="578"/>
      <c r="Q1270" s="578"/>
      <c r="R1270" s="580">
        <f>4747508.81+903013.55</f>
        <v>5650522.3600000003</v>
      </c>
      <c r="S1270" s="580">
        <v>1402912.6</v>
      </c>
      <c r="T1270" s="580"/>
      <c r="U1270" s="580"/>
      <c r="V1270" s="583">
        <v>1464198</v>
      </c>
      <c r="W1270" s="584">
        <v>193714.22</v>
      </c>
      <c r="X1270" s="581"/>
      <c r="Y1270" s="581"/>
      <c r="Z1270" s="581"/>
      <c r="AA1270" s="581"/>
      <c r="AB1270" s="584">
        <f t="shared" si="572"/>
        <v>15475206.92</v>
      </c>
      <c r="AC1270" s="585"/>
      <c r="AD1270" s="585">
        <v>2025</v>
      </c>
      <c r="AE1270" s="585">
        <v>2025</v>
      </c>
      <c r="AF1270" s="91"/>
      <c r="AG1270" s="91"/>
    </row>
    <row r="1271" spans="1:33" s="595" customFormat="1" ht="24" customHeight="1">
      <c r="A1271" s="585">
        <f t="shared" si="596"/>
        <v>176</v>
      </c>
      <c r="B1271" s="586" t="s">
        <v>300</v>
      </c>
      <c r="C1271" s="587">
        <f t="shared" si="571"/>
        <v>19525790.57</v>
      </c>
      <c r="D1271" s="580">
        <f>ROUND(1990.8*589.88,2)</f>
        <v>1174333.1000000001</v>
      </c>
      <c r="E1271" s="581"/>
      <c r="F1271" s="581"/>
      <c r="G1271" s="578">
        <f>ROUND(1990.8*596.38,2)</f>
        <v>1187273.3</v>
      </c>
      <c r="H1271" s="582">
        <f>ROUND(1990.8*1074.75,2)</f>
        <v>2139612.2999999998</v>
      </c>
      <c r="I1271" s="582">
        <f>ROUND(1990.8*4857.9,2)</f>
        <v>9671107.3200000003</v>
      </c>
      <c r="J1271" s="581">
        <v>1</v>
      </c>
      <c r="K1271" s="597">
        <v>2771340</v>
      </c>
      <c r="L1271" s="578">
        <f>ROUND(1990.8*616.25,2)</f>
        <v>1226830.5</v>
      </c>
      <c r="M1271" s="579"/>
      <c r="N1271" s="579"/>
      <c r="O1271" s="579"/>
      <c r="P1271" s="579"/>
      <c r="Q1271" s="578"/>
      <c r="R1271" s="580"/>
      <c r="S1271" s="580"/>
      <c r="T1271" s="580"/>
      <c r="U1271" s="580"/>
      <c r="V1271" s="583">
        <f>944169.6+138567</f>
        <v>1082736.6000000001</v>
      </c>
      <c r="W1271" s="584">
        <f>ROUND((D1271+F1271+G1271+H1271+I1271+K1271+L1271+M1271+O1271+P1271+Q1271+R1271+S1271)*1.5%,2)</f>
        <v>272557.45</v>
      </c>
      <c r="X1271" s="581"/>
      <c r="Y1271" s="581"/>
      <c r="Z1271" s="581"/>
      <c r="AA1271" s="581"/>
      <c r="AB1271" s="584">
        <f t="shared" si="572"/>
        <v>19525790.57</v>
      </c>
      <c r="AC1271" s="585"/>
      <c r="AD1271" s="585">
        <v>2025</v>
      </c>
      <c r="AE1271" s="585">
        <v>2026</v>
      </c>
      <c r="AF1271" s="594"/>
      <c r="AG1271" s="594"/>
    </row>
    <row r="1272" spans="1:33" s="26" customFormat="1" ht="24" customHeight="1">
      <c r="A1272" s="585">
        <f t="shared" si="596"/>
        <v>177</v>
      </c>
      <c r="B1272" s="586" t="s">
        <v>342</v>
      </c>
      <c r="C1272" s="587">
        <f t="shared" si="571"/>
        <v>2812625.72</v>
      </c>
      <c r="D1272" s="580"/>
      <c r="E1272" s="581"/>
      <c r="F1272" s="581"/>
      <c r="G1272" s="578"/>
      <c r="H1272" s="582"/>
      <c r="I1272" s="582"/>
      <c r="J1272" s="585"/>
      <c r="K1272" s="583"/>
      <c r="L1272" s="578"/>
      <c r="M1272" s="622">
        <f>2730381.28+41288.72</f>
        <v>2771670</v>
      </c>
      <c r="N1272" s="579"/>
      <c r="O1272" s="579"/>
      <c r="P1272" s="579"/>
      <c r="Q1272" s="578"/>
      <c r="R1272" s="580"/>
      <c r="S1272" s="580"/>
      <c r="T1272" s="580"/>
      <c r="U1272" s="580"/>
      <c r="V1272" s="583"/>
      <c r="W1272" s="584">
        <v>40955.72</v>
      </c>
      <c r="X1272" s="581"/>
      <c r="Y1272" s="581"/>
      <c r="Z1272" s="581"/>
      <c r="AA1272" s="581"/>
      <c r="AB1272" s="584">
        <f t="shared" si="572"/>
        <v>2812625.72</v>
      </c>
      <c r="AC1272" s="585"/>
      <c r="AD1272" s="585">
        <v>2023</v>
      </c>
      <c r="AE1272" s="585">
        <v>2025</v>
      </c>
      <c r="AF1272" s="91"/>
      <c r="AG1272" s="91"/>
    </row>
    <row r="1273" spans="1:33" s="595" customFormat="1" ht="24" customHeight="1">
      <c r="A1273" s="585">
        <f t="shared" si="596"/>
        <v>178</v>
      </c>
      <c r="B1273" s="586" t="s">
        <v>1051</v>
      </c>
      <c r="C1273" s="587">
        <f t="shared" si="571"/>
        <v>2951477.1</v>
      </c>
      <c r="D1273" s="580"/>
      <c r="E1273" s="581"/>
      <c r="F1273" s="581"/>
      <c r="G1273" s="578"/>
      <c r="H1273" s="582"/>
      <c r="I1273" s="582"/>
      <c r="J1273" s="581">
        <v>1</v>
      </c>
      <c r="K1273" s="597">
        <v>2771340</v>
      </c>
      <c r="L1273" s="578"/>
      <c r="M1273" s="579"/>
      <c r="N1273" s="579"/>
      <c r="O1273" s="579"/>
      <c r="P1273" s="580"/>
      <c r="Q1273" s="580"/>
      <c r="R1273" s="581"/>
      <c r="S1273" s="582"/>
      <c r="T1273" s="582"/>
      <c r="U1273" s="582"/>
      <c r="V1273" s="583">
        <v>138567</v>
      </c>
      <c r="W1273" s="584">
        <f t="shared" ref="W1273" si="604">ROUND((D1273+F1273+G1273+H1273+I1273+K1273+L1273+M1273+O1273+P1273+Q1273+R1273+S1273)*1.5%,2)</f>
        <v>41570.1</v>
      </c>
      <c r="X1273" s="581"/>
      <c r="Y1273" s="581"/>
      <c r="Z1273" s="581"/>
      <c r="AA1273" s="581"/>
      <c r="AB1273" s="584">
        <f t="shared" si="572"/>
        <v>2951477.1</v>
      </c>
      <c r="AC1273" s="585"/>
      <c r="AD1273" s="585">
        <v>2025</v>
      </c>
      <c r="AE1273" s="585">
        <v>2026</v>
      </c>
      <c r="AF1273" s="594"/>
      <c r="AG1273" s="594"/>
    </row>
    <row r="1274" spans="1:33" s="26" customFormat="1" ht="24" customHeight="1">
      <c r="A1274" s="585">
        <f t="shared" si="596"/>
        <v>179</v>
      </c>
      <c r="B1274" s="20" t="s">
        <v>1148</v>
      </c>
      <c r="C1274" s="4">
        <f t="shared" si="571"/>
        <v>11502000</v>
      </c>
      <c r="D1274" s="9"/>
      <c r="E1274" s="21"/>
      <c r="F1274" s="21"/>
      <c r="G1274" s="12"/>
      <c r="H1274" s="13"/>
      <c r="I1274" s="13"/>
      <c r="J1274" s="18"/>
      <c r="K1274" s="645"/>
      <c r="L1274" s="12"/>
      <c r="M1274" s="22"/>
      <c r="N1274" s="657">
        <v>3</v>
      </c>
      <c r="O1274" s="46">
        <f>3600000*N1274</f>
        <v>10800000</v>
      </c>
      <c r="P1274" s="22"/>
      <c r="Q1274" s="12"/>
      <c r="R1274" s="9"/>
      <c r="S1274" s="9"/>
      <c r="T1274" s="9"/>
      <c r="U1274" s="9"/>
      <c r="V1274" s="3">
        <v>540000</v>
      </c>
      <c r="W1274" s="24">
        <v>162000</v>
      </c>
      <c r="X1274" s="21"/>
      <c r="Y1274" s="21"/>
      <c r="Z1274" s="24">
        <f>C1274</f>
        <v>11502000</v>
      </c>
      <c r="AA1274" s="21"/>
      <c r="AB1274" s="24"/>
      <c r="AC1274" s="18"/>
      <c r="AD1274" s="18">
        <v>2025</v>
      </c>
      <c r="AE1274" s="18">
        <v>2025</v>
      </c>
      <c r="AF1274" s="91"/>
      <c r="AG1274" s="91"/>
    </row>
    <row r="1275" spans="1:33" s="595" customFormat="1" ht="24" customHeight="1">
      <c r="A1275" s="585">
        <f t="shared" si="596"/>
        <v>180</v>
      </c>
      <c r="B1275" s="586" t="s">
        <v>1065</v>
      </c>
      <c r="C1275" s="587">
        <f t="shared" si="571"/>
        <v>61160154.369999997</v>
      </c>
      <c r="D1275" s="580"/>
      <c r="E1275" s="581"/>
      <c r="F1275" s="581"/>
      <c r="G1275" s="578"/>
      <c r="H1275" s="582"/>
      <c r="I1275" s="582"/>
      <c r="J1275" s="585"/>
      <c r="K1275" s="583"/>
      <c r="L1275" s="578"/>
      <c r="M1275" s="579"/>
      <c r="N1275" s="579"/>
      <c r="O1275" s="579"/>
      <c r="P1275" s="598">
        <v>34277105.149999999</v>
      </c>
      <c r="Q1275" s="578"/>
      <c r="R1275" s="580">
        <f>ROUND(5007.4*3435.59,2)</f>
        <v>17203373.370000001</v>
      </c>
      <c r="S1275" s="580">
        <f>ROUND(5007.4*1135.41,2)</f>
        <v>5685452.0300000003</v>
      </c>
      <c r="T1275" s="580"/>
      <c r="U1275" s="580"/>
      <c r="V1275" s="583">
        <f>1422879.6+1713855.26</f>
        <v>3136734.86</v>
      </c>
      <c r="W1275" s="584">
        <f t="shared" ref="W1275:W1277" si="605">ROUND((D1275+F1275+G1275+H1275+I1275+L1275+M1275+O1275+P1275+Q1275+R1275+S1275)*1.5%,2)</f>
        <v>857488.96</v>
      </c>
      <c r="X1275" s="581"/>
      <c r="Y1275" s="581"/>
      <c r="Z1275" s="581"/>
      <c r="AA1275" s="581"/>
      <c r="AB1275" s="584">
        <f t="shared" si="572"/>
        <v>61160154.369999997</v>
      </c>
      <c r="AC1275" s="585"/>
      <c r="AD1275" s="585">
        <v>2025</v>
      </c>
      <c r="AE1275" s="585">
        <v>2026</v>
      </c>
      <c r="AF1275" s="594"/>
      <c r="AG1275" s="594"/>
    </row>
    <row r="1276" spans="1:33" s="595" customFormat="1" ht="24" customHeight="1">
      <c r="A1276" s="585">
        <f t="shared" si="596"/>
        <v>181</v>
      </c>
      <c r="B1276" s="586" t="s">
        <v>936</v>
      </c>
      <c r="C1276" s="587">
        <f t="shared" si="571"/>
        <v>36288211.479999997</v>
      </c>
      <c r="D1276" s="580"/>
      <c r="E1276" s="581"/>
      <c r="F1276" s="581"/>
      <c r="G1276" s="578"/>
      <c r="H1276" s="582"/>
      <c r="I1276" s="582"/>
      <c r="J1276" s="585"/>
      <c r="K1276" s="583"/>
      <c r="L1276" s="578"/>
      <c r="M1276" s="579"/>
      <c r="N1276" s="579"/>
      <c r="O1276" s="579"/>
      <c r="P1276" s="598">
        <v>21830407.199999999</v>
      </c>
      <c r="Q1276" s="578"/>
      <c r="R1276" s="580">
        <f>ROUND(2749.1*3170.13,2)</f>
        <v>8715004.3800000008</v>
      </c>
      <c r="S1276" s="580">
        <f>ROUND(2749.1*1135.41,2)</f>
        <v>3121355.63</v>
      </c>
      <c r="T1276" s="580"/>
      <c r="U1276" s="580"/>
      <c r="V1276" s="583">
        <f>1024922.4+1091520.36</f>
        <v>2116442.7599999998</v>
      </c>
      <c r="W1276" s="584">
        <f t="shared" si="605"/>
        <v>505001.51</v>
      </c>
      <c r="X1276" s="581"/>
      <c r="Y1276" s="581"/>
      <c r="Z1276" s="581"/>
      <c r="AA1276" s="581"/>
      <c r="AB1276" s="584">
        <f t="shared" si="572"/>
        <v>36288211.479999997</v>
      </c>
      <c r="AC1276" s="585"/>
      <c r="AD1276" s="585">
        <v>2025</v>
      </c>
      <c r="AE1276" s="585">
        <v>2026</v>
      </c>
      <c r="AF1276" s="594"/>
      <c r="AG1276" s="594"/>
    </row>
    <row r="1277" spans="1:33" s="26" customFormat="1" ht="24" customHeight="1">
      <c r="A1277" s="585">
        <f t="shared" si="596"/>
        <v>182</v>
      </c>
      <c r="B1277" s="20" t="s">
        <v>1170</v>
      </c>
      <c r="C1277" s="4">
        <f t="shared" si="571"/>
        <v>52003538.140000001</v>
      </c>
      <c r="D1277" s="9"/>
      <c r="E1277" s="21"/>
      <c r="F1277" s="21"/>
      <c r="G1277" s="12"/>
      <c r="H1277" s="13"/>
      <c r="I1277" s="13"/>
      <c r="J1277" s="18"/>
      <c r="K1277" s="3"/>
      <c r="L1277" s="12"/>
      <c r="M1277" s="22"/>
      <c r="N1277" s="22"/>
      <c r="O1277" s="22"/>
      <c r="P1277" s="46">
        <v>21001581.140000001</v>
      </c>
      <c r="Q1277" s="12"/>
      <c r="R1277" s="9">
        <v>27828032.129999999</v>
      </c>
      <c r="S1277" s="9"/>
      <c r="T1277" s="9"/>
      <c r="U1277" s="9"/>
      <c r="V1277" s="3">
        <f>1050079.06+1391401.61</f>
        <v>2441480.67</v>
      </c>
      <c r="W1277" s="24">
        <f t="shared" si="605"/>
        <v>732444.2</v>
      </c>
      <c r="X1277" s="21"/>
      <c r="Y1277" s="21"/>
      <c r="Z1277" s="24">
        <f>C1277</f>
        <v>52003538.140000001</v>
      </c>
      <c r="AA1277" s="21"/>
      <c r="AB1277" s="24"/>
      <c r="AC1277" s="18"/>
      <c r="AD1277" s="18">
        <v>2025</v>
      </c>
      <c r="AE1277" s="18">
        <v>2025</v>
      </c>
      <c r="AF1277" s="91"/>
      <c r="AG1277" s="91"/>
    </row>
    <row r="1278" spans="1:33" s="595" customFormat="1" ht="24" customHeight="1">
      <c r="A1278" s="585">
        <f t="shared" si="596"/>
        <v>183</v>
      </c>
      <c r="B1278" s="20" t="s">
        <v>914</v>
      </c>
      <c r="C1278" s="4">
        <f t="shared" si="571"/>
        <v>15049055.82</v>
      </c>
      <c r="D1278" s="9">
        <f>ROUND(1812.7*589.88,2)</f>
        <v>1069275.48</v>
      </c>
      <c r="E1278" s="21"/>
      <c r="F1278" s="21"/>
      <c r="G1278" s="12">
        <f>ROUND(1812.7*596.38,2)</f>
        <v>1081058.03</v>
      </c>
      <c r="H1278" s="13">
        <f>ROUND(1812.7*1074.75,2)</f>
        <v>1948199.33</v>
      </c>
      <c r="I1278" s="13">
        <f>ROUND(1812.7*4857.9,2)</f>
        <v>8805915.3300000001</v>
      </c>
      <c r="J1278" s="18"/>
      <c r="K1278" s="3"/>
      <c r="L1278" s="12">
        <f>ROUND(1812.7*616.25,2)</f>
        <v>1117076.3799999999</v>
      </c>
      <c r="M1278" s="22"/>
      <c r="N1278" s="22"/>
      <c r="O1278" s="22"/>
      <c r="P1278" s="22"/>
      <c r="Q1278" s="12"/>
      <c r="R1278" s="9"/>
      <c r="S1278" s="9"/>
      <c r="T1278" s="108"/>
      <c r="U1278" s="108"/>
      <c r="V1278" s="3">
        <v>817208.4</v>
      </c>
      <c r="W1278" s="24">
        <f t="shared" si="574"/>
        <v>210322.87</v>
      </c>
      <c r="X1278" s="21"/>
      <c r="Y1278" s="21"/>
      <c r="Z1278" s="21"/>
      <c r="AA1278" s="21"/>
      <c r="AB1278" s="24">
        <f t="shared" si="572"/>
        <v>15049055.82</v>
      </c>
      <c r="AC1278" s="18"/>
      <c r="AD1278" s="18">
        <v>2025</v>
      </c>
      <c r="AE1278" s="18">
        <v>2025</v>
      </c>
      <c r="AF1278" s="596"/>
      <c r="AG1278" s="594"/>
    </row>
    <row r="1279" spans="1:33" s="595" customFormat="1" ht="24" customHeight="1">
      <c r="A1279" s="585">
        <f t="shared" si="596"/>
        <v>184</v>
      </c>
      <c r="B1279" s="586" t="s">
        <v>1052</v>
      </c>
      <c r="C1279" s="587">
        <f t="shared" si="571"/>
        <v>2951477.1</v>
      </c>
      <c r="D1279" s="580"/>
      <c r="E1279" s="581"/>
      <c r="F1279" s="581"/>
      <c r="G1279" s="578"/>
      <c r="H1279" s="582"/>
      <c r="I1279" s="582"/>
      <c r="J1279" s="581">
        <v>1</v>
      </c>
      <c r="K1279" s="597">
        <v>2771340</v>
      </c>
      <c r="L1279" s="578"/>
      <c r="M1279" s="579"/>
      <c r="N1279" s="579"/>
      <c r="O1279" s="579"/>
      <c r="P1279" s="580"/>
      <c r="Q1279" s="580"/>
      <c r="R1279" s="581"/>
      <c r="S1279" s="582"/>
      <c r="T1279" s="582"/>
      <c r="U1279" s="582"/>
      <c r="V1279" s="583">
        <v>138567</v>
      </c>
      <c r="W1279" s="584">
        <f t="shared" ref="W1279" si="606">ROUND((D1279+F1279+G1279+H1279+I1279+K1279+L1279+M1279+O1279+P1279+Q1279+R1279+S1279)*1.5%,2)</f>
        <v>41570.1</v>
      </c>
      <c r="X1279" s="581"/>
      <c r="Y1279" s="581"/>
      <c r="Z1279" s="581"/>
      <c r="AA1279" s="581"/>
      <c r="AB1279" s="584">
        <f t="shared" si="572"/>
        <v>2951477.1</v>
      </c>
      <c r="AC1279" s="585"/>
      <c r="AD1279" s="585">
        <v>2025</v>
      </c>
      <c r="AE1279" s="585">
        <v>2026</v>
      </c>
      <c r="AF1279" s="594"/>
      <c r="AG1279" s="594"/>
    </row>
    <row r="1280" spans="1:33" s="26" customFormat="1" ht="24" customHeight="1">
      <c r="A1280" s="585">
        <f t="shared" si="596"/>
        <v>185</v>
      </c>
      <c r="B1280" s="20" t="s">
        <v>513</v>
      </c>
      <c r="C1280" s="4">
        <f t="shared" si="571"/>
        <v>19962331.539999999</v>
      </c>
      <c r="D1280" s="9"/>
      <c r="E1280" s="21"/>
      <c r="F1280" s="21"/>
      <c r="G1280" s="12"/>
      <c r="H1280" s="13"/>
      <c r="I1280" s="13"/>
      <c r="J1280" s="18"/>
      <c r="K1280" s="3"/>
      <c r="L1280" s="12"/>
      <c r="M1280" s="22"/>
      <c r="N1280" s="22"/>
      <c r="O1280" s="22"/>
      <c r="P1280" s="12">
        <f>ROUND(1754.6*5975.33,2)</f>
        <v>10484314.02</v>
      </c>
      <c r="Q1280" s="12"/>
      <c r="R1280" s="9">
        <v>7994183.6699999999</v>
      </c>
      <c r="S1280" s="9"/>
      <c r="T1280" s="9"/>
      <c r="U1280" s="9"/>
      <c r="V1280" s="3">
        <f>806947.2+399709.18</f>
        <v>1206656.3799999999</v>
      </c>
      <c r="W1280" s="24">
        <f t="shared" ref="W1280" si="607">ROUND((D1280+F1280+G1280+H1280+I1280+L1280+M1280+O1280+P1280+Q1280+R1280+S1280)*1.5%,2)</f>
        <v>277177.46999999997</v>
      </c>
      <c r="X1280" s="21"/>
      <c r="Y1280" s="21"/>
      <c r="Z1280" s="24">
        <f>C1280-AB1280</f>
        <v>8513805.6099999994</v>
      </c>
      <c r="AA1280" s="21"/>
      <c r="AB1280" s="24">
        <v>11448525.93</v>
      </c>
      <c r="AC1280" s="18"/>
      <c r="AD1280" s="18">
        <v>2025</v>
      </c>
      <c r="AE1280" s="18">
        <v>2025</v>
      </c>
      <c r="AF1280" s="91"/>
      <c r="AG1280" s="91"/>
    </row>
    <row r="1281" spans="1:33" s="26" customFormat="1" ht="24" customHeight="1">
      <c r="A1281" s="585">
        <f t="shared" si="596"/>
        <v>186</v>
      </c>
      <c r="B1281" s="586" t="s">
        <v>1318</v>
      </c>
      <c r="C1281" s="587">
        <f t="shared" si="571"/>
        <v>1861001.14</v>
      </c>
      <c r="D1281" s="580"/>
      <c r="E1281" s="640">
        <v>1</v>
      </c>
      <c r="F1281" s="589">
        <v>1612809</v>
      </c>
      <c r="G1281" s="588"/>
      <c r="H1281" s="589"/>
      <c r="I1281" s="589"/>
      <c r="J1281" s="589"/>
      <c r="K1281" s="589"/>
      <c r="L1281" s="588"/>
      <c r="M1281" s="588"/>
      <c r="N1281" s="588"/>
      <c r="O1281" s="588"/>
      <c r="P1281" s="589"/>
      <c r="Q1281" s="589"/>
      <c r="R1281" s="589"/>
      <c r="S1281" s="589"/>
      <c r="T1281" s="589"/>
      <c r="U1281" s="589"/>
      <c r="V1281" s="843">
        <v>224000</v>
      </c>
      <c r="W1281" s="789">
        <v>24192.14</v>
      </c>
      <c r="X1281" s="589"/>
      <c r="Y1281" s="581"/>
      <c r="Z1281" s="581"/>
      <c r="AA1281" s="581"/>
      <c r="AB1281" s="584">
        <f t="shared" ref="AB1281" si="608">C1281</f>
        <v>1861001.14</v>
      </c>
      <c r="AC1281" s="585"/>
      <c r="AD1281" s="585">
        <v>2025</v>
      </c>
      <c r="AE1281" s="585">
        <v>2026</v>
      </c>
      <c r="AF1281" s="91"/>
      <c r="AG1281" s="91"/>
    </row>
    <row r="1282" spans="1:33" s="595" customFormat="1" ht="24" customHeight="1">
      <c r="A1282" s="585">
        <f t="shared" si="596"/>
        <v>187</v>
      </c>
      <c r="B1282" s="586" t="s">
        <v>1053</v>
      </c>
      <c r="C1282" s="587">
        <f t="shared" si="571"/>
        <v>104549867.12</v>
      </c>
      <c r="D1282" s="580"/>
      <c r="E1282" s="581"/>
      <c r="F1282" s="581"/>
      <c r="G1282" s="578"/>
      <c r="H1282" s="582"/>
      <c r="I1282" s="582"/>
      <c r="J1282" s="585"/>
      <c r="K1282" s="583"/>
      <c r="L1282" s="578"/>
      <c r="M1282" s="601"/>
      <c r="N1282" s="579"/>
      <c r="O1282" s="579"/>
      <c r="P1282" s="598">
        <v>42222367.869999997</v>
      </c>
      <c r="Q1282" s="578"/>
      <c r="R1282" s="580">
        <v>55946521.439999998</v>
      </c>
      <c r="S1282" s="580"/>
      <c r="T1282" s="580"/>
      <c r="U1282" s="580"/>
      <c r="V1282" s="583">
        <f>2797326.07+2111118.4</f>
        <v>4908444.47</v>
      </c>
      <c r="W1282" s="584">
        <f>839197.82+633335.52</f>
        <v>1472533.34</v>
      </c>
      <c r="X1282" s="581"/>
      <c r="Y1282" s="581"/>
      <c r="Z1282" s="581"/>
      <c r="AA1282" s="581"/>
      <c r="AB1282" s="584">
        <f t="shared" si="572"/>
        <v>104549867.12</v>
      </c>
      <c r="AC1282" s="585"/>
      <c r="AD1282" s="585">
        <v>2025</v>
      </c>
      <c r="AE1282" s="585">
        <v>2026</v>
      </c>
      <c r="AF1282" s="594"/>
      <c r="AG1282" s="594"/>
    </row>
    <row r="1283" spans="1:33" s="595" customFormat="1" ht="24" customHeight="1">
      <c r="A1283" s="585">
        <f t="shared" si="596"/>
        <v>188</v>
      </c>
      <c r="B1283" s="586" t="s">
        <v>1054</v>
      </c>
      <c r="C1283" s="587">
        <v>2951477.1</v>
      </c>
      <c r="D1283" s="580"/>
      <c r="E1283" s="581"/>
      <c r="F1283" s="581"/>
      <c r="G1283" s="578"/>
      <c r="H1283" s="582"/>
      <c r="I1283" s="582"/>
      <c r="J1283" s="581">
        <v>1</v>
      </c>
      <c r="K1283" s="583">
        <v>2771340</v>
      </c>
      <c r="L1283" s="578"/>
      <c r="M1283" s="601"/>
      <c r="N1283" s="579"/>
      <c r="O1283" s="579"/>
      <c r="P1283" s="579"/>
      <c r="Q1283" s="578"/>
      <c r="R1283" s="580"/>
      <c r="S1283" s="580"/>
      <c r="T1283" s="580"/>
      <c r="U1283" s="580"/>
      <c r="V1283" s="583">
        <v>138567</v>
      </c>
      <c r="W1283" s="584">
        <v>41570.1</v>
      </c>
      <c r="X1283" s="581"/>
      <c r="Y1283" s="581"/>
      <c r="Z1283" s="581"/>
      <c r="AA1283" s="581"/>
      <c r="AB1283" s="584">
        <v>2951477.1</v>
      </c>
      <c r="AC1283" s="585"/>
      <c r="AD1283" s="585">
        <v>2025</v>
      </c>
      <c r="AE1283" s="585">
        <v>2026</v>
      </c>
      <c r="AF1283" s="594"/>
      <c r="AG1283" s="594"/>
    </row>
    <row r="1284" spans="1:33" s="26" customFormat="1" ht="24" customHeight="1">
      <c r="A1284" s="585">
        <f t="shared" si="596"/>
        <v>189</v>
      </c>
      <c r="B1284" s="20" t="s">
        <v>1171</v>
      </c>
      <c r="C1284" s="4">
        <f t="shared" ref="C1284:C1285" si="609">D1284+F1284+G1284+H1284+I1284+K1284+L1284+M1284+O1284+P1284+Q1284+R1284+S1284+W1284+V1284+X1284</f>
        <v>36699581.799999997</v>
      </c>
      <c r="D1284" s="9"/>
      <c r="E1284" s="21"/>
      <c r="F1284" s="21"/>
      <c r="G1284" s="12"/>
      <c r="H1284" s="13"/>
      <c r="I1284" s="13"/>
      <c r="J1284" s="18"/>
      <c r="K1284" s="3"/>
      <c r="L1284" s="12"/>
      <c r="M1284" s="713"/>
      <c r="N1284" s="22"/>
      <c r="O1284" s="22"/>
      <c r="P1284" s="22"/>
      <c r="Q1284" s="12"/>
      <c r="R1284" s="9">
        <v>12707507.279999999</v>
      </c>
      <c r="S1284" s="9">
        <v>21752193.940000001</v>
      </c>
      <c r="T1284" s="9"/>
      <c r="U1284" s="9"/>
      <c r="V1284" s="3">
        <f>635375.36+1087609.7</f>
        <v>1722985.06</v>
      </c>
      <c r="W1284" s="24">
        <f t="shared" ref="W1284" si="610">ROUND((D1284+F1284+G1284+H1284+I1284+L1284+M1284+O1284+P1284+Q1284+R1284+S1284)*1.5%,2)</f>
        <v>516895.52</v>
      </c>
      <c r="X1284" s="21"/>
      <c r="Y1284" s="21"/>
      <c r="Z1284" s="24">
        <f>C1284</f>
        <v>36699581.799999997</v>
      </c>
      <c r="AA1284" s="21"/>
      <c r="AB1284" s="24"/>
      <c r="AC1284" s="18"/>
      <c r="AD1284" s="18">
        <v>2025</v>
      </c>
      <c r="AE1284" s="18">
        <v>2025</v>
      </c>
      <c r="AF1284" s="91"/>
      <c r="AG1284" s="91"/>
    </row>
    <row r="1285" spans="1:33" s="26" customFormat="1" ht="24" customHeight="1">
      <c r="A1285" s="585">
        <f t="shared" si="596"/>
        <v>190</v>
      </c>
      <c r="B1285" s="586" t="s">
        <v>216</v>
      </c>
      <c r="C1285" s="587">
        <f t="shared" si="609"/>
        <v>1800323.7</v>
      </c>
      <c r="D1285" s="580"/>
      <c r="E1285" s="640">
        <v>1</v>
      </c>
      <c r="F1285" s="589">
        <v>1572488.77</v>
      </c>
      <c r="G1285" s="588"/>
      <c r="H1285" s="589"/>
      <c r="I1285" s="589"/>
      <c r="J1285" s="589"/>
      <c r="K1285" s="589"/>
      <c r="L1285" s="588"/>
      <c r="M1285" s="588"/>
      <c r="N1285" s="588"/>
      <c r="O1285" s="588"/>
      <c r="P1285" s="589"/>
      <c r="Q1285" s="589"/>
      <c r="R1285" s="589"/>
      <c r="S1285" s="589"/>
      <c r="T1285" s="589"/>
      <c r="U1285" s="589"/>
      <c r="V1285" s="590">
        <v>218400</v>
      </c>
      <c r="W1285" s="584">
        <v>9434.93</v>
      </c>
      <c r="X1285" s="589"/>
      <c r="Y1285" s="581"/>
      <c r="Z1285" s="584">
        <f>C1285</f>
        <v>1800323.7</v>
      </c>
      <c r="AA1285" s="581"/>
      <c r="AB1285" s="584"/>
      <c r="AC1285" s="585"/>
      <c r="AD1285" s="585">
        <v>2025</v>
      </c>
      <c r="AE1285" s="585">
        <v>2025</v>
      </c>
      <c r="AF1285" s="91"/>
      <c r="AG1285" s="91"/>
    </row>
    <row r="1286" spans="1:33" s="595" customFormat="1" ht="24" customHeight="1">
      <c r="A1286" s="585">
        <f t="shared" si="596"/>
        <v>191</v>
      </c>
      <c r="B1286" s="586" t="s">
        <v>475</v>
      </c>
      <c r="C1286" s="587">
        <f t="shared" ref="C1286:C1291" si="611">D1286+F1286+G1286+H1286+I1286+K1286+L1286+M1286+O1286+P1286+Q1286+R1286+S1286+W1286+V1286+X1286</f>
        <v>2871536.61</v>
      </c>
      <c r="D1286" s="581"/>
      <c r="E1286" s="620"/>
      <c r="F1286" s="581"/>
      <c r="G1286" s="578">
        <v>1107189.3</v>
      </c>
      <c r="H1286" s="580">
        <v>1589089.2</v>
      </c>
      <c r="I1286" s="582"/>
      <c r="J1286" s="585"/>
      <c r="K1286" s="577"/>
      <c r="L1286" s="578"/>
      <c r="M1286" s="579"/>
      <c r="N1286" s="579"/>
      <c r="O1286" s="579"/>
      <c r="P1286" s="579"/>
      <c r="Q1286" s="578"/>
      <c r="R1286" s="580"/>
      <c r="S1286" s="580"/>
      <c r="T1286" s="580"/>
      <c r="U1286" s="580"/>
      <c r="V1286" s="583">
        <v>134813.93</v>
      </c>
      <c r="W1286" s="584">
        <f t="shared" ref="W1286" si="612">ROUND((D1286+F1286+G1286+H1286+I1286+L1286+M1286+O1286+P1286+Q1286+R1286+S1286)*1.5%,2)</f>
        <v>40444.18</v>
      </c>
      <c r="X1286" s="581"/>
      <c r="Y1286" s="581"/>
      <c r="Z1286" s="581"/>
      <c r="AA1286" s="581"/>
      <c r="AB1286" s="584">
        <f t="shared" ref="AB1286" si="613">C1286</f>
        <v>2871536.61</v>
      </c>
      <c r="AC1286" s="585"/>
      <c r="AD1286" s="585">
        <v>2025</v>
      </c>
      <c r="AE1286" s="585">
        <v>2026</v>
      </c>
      <c r="AF1286" s="594"/>
      <c r="AG1286" s="594"/>
    </row>
    <row r="1287" spans="1:33" s="26" customFormat="1" ht="24" customHeight="1">
      <c r="A1287" s="585">
        <f t="shared" si="596"/>
        <v>192</v>
      </c>
      <c r="B1287" s="586" t="s">
        <v>1117</v>
      </c>
      <c r="C1287" s="587">
        <f t="shared" si="611"/>
        <v>1800323.7</v>
      </c>
      <c r="D1287" s="580"/>
      <c r="E1287" s="640">
        <v>1</v>
      </c>
      <c r="F1287" s="589">
        <v>1572488.77</v>
      </c>
      <c r="G1287" s="588"/>
      <c r="H1287" s="589"/>
      <c r="I1287" s="589"/>
      <c r="J1287" s="589"/>
      <c r="K1287" s="589"/>
      <c r="L1287" s="588"/>
      <c r="M1287" s="588"/>
      <c r="N1287" s="588"/>
      <c r="O1287" s="588"/>
      <c r="P1287" s="589"/>
      <c r="Q1287" s="589"/>
      <c r="R1287" s="589"/>
      <c r="S1287" s="589"/>
      <c r="T1287" s="589"/>
      <c r="U1287" s="589"/>
      <c r="V1287" s="590">
        <v>218400</v>
      </c>
      <c r="W1287" s="584">
        <v>9434.93</v>
      </c>
      <c r="X1287" s="589"/>
      <c r="Y1287" s="581"/>
      <c r="Z1287" s="584">
        <f>C1287</f>
        <v>1800323.7</v>
      </c>
      <c r="AA1287" s="581"/>
      <c r="AB1287" s="584"/>
      <c r="AC1287" s="585"/>
      <c r="AD1287" s="585">
        <v>2025</v>
      </c>
      <c r="AE1287" s="585">
        <v>2025</v>
      </c>
      <c r="AF1287" s="91"/>
      <c r="AG1287" s="91"/>
    </row>
    <row r="1288" spans="1:33" s="26" customFormat="1" ht="24" customHeight="1">
      <c r="A1288" s="585">
        <f t="shared" si="596"/>
        <v>193</v>
      </c>
      <c r="B1288" s="20" t="s">
        <v>301</v>
      </c>
      <c r="C1288" s="4">
        <f t="shared" si="611"/>
        <v>16982992.120000001</v>
      </c>
      <c r="D1288" s="9"/>
      <c r="E1288" s="21"/>
      <c r="F1288" s="21"/>
      <c r="G1288" s="12"/>
      <c r="H1288" s="13"/>
      <c r="I1288" s="13"/>
      <c r="J1288" s="18"/>
      <c r="K1288" s="3"/>
      <c r="L1288" s="12"/>
      <c r="M1288" s="22"/>
      <c r="N1288" s="22"/>
      <c r="O1288" s="22"/>
      <c r="P1288" s="12">
        <v>11463490.960000001</v>
      </c>
      <c r="Q1288" s="12"/>
      <c r="R1288" s="9">
        <v>4482980.5199999996</v>
      </c>
      <c r="S1288" s="9"/>
      <c r="T1288" s="9"/>
      <c r="U1288" s="9"/>
      <c r="V1288" s="3">
        <v>797323.57</v>
      </c>
      <c r="W1288" s="24">
        <f t="shared" ref="W1288" si="614">ROUND((D1288+F1288+G1288+H1288+I1288+L1288+M1288+O1288+P1288+Q1288+R1288+S1288)*1.5%,2)</f>
        <v>239197.07</v>
      </c>
      <c r="X1288" s="21"/>
      <c r="Y1288" s="21"/>
      <c r="Z1288" s="24">
        <f>C1288</f>
        <v>16982992.120000001</v>
      </c>
      <c r="AA1288" s="21"/>
      <c r="AB1288" s="24"/>
      <c r="AC1288" s="18"/>
      <c r="AD1288" s="18">
        <v>2025</v>
      </c>
      <c r="AE1288" s="18">
        <v>2025</v>
      </c>
      <c r="AF1288" s="91"/>
      <c r="AG1288" s="91"/>
    </row>
    <row r="1289" spans="1:33" s="26" customFormat="1" ht="24" customHeight="1">
      <c r="A1289" s="585">
        <f t="shared" si="596"/>
        <v>194</v>
      </c>
      <c r="B1289" s="20" t="s">
        <v>344</v>
      </c>
      <c r="C1289" s="4">
        <f t="shared" si="611"/>
        <v>23215295.77</v>
      </c>
      <c r="D1289" s="9"/>
      <c r="E1289" s="21"/>
      <c r="F1289" s="21"/>
      <c r="G1289" s="12"/>
      <c r="H1289" s="13"/>
      <c r="I1289" s="13"/>
      <c r="J1289" s="18"/>
      <c r="K1289" s="3"/>
      <c r="L1289" s="12"/>
      <c r="M1289" s="22"/>
      <c r="N1289" s="22"/>
      <c r="O1289" s="22"/>
      <c r="P1289" s="12"/>
      <c r="Q1289" s="12"/>
      <c r="R1289" s="9">
        <v>21798399.780000001</v>
      </c>
      <c r="S1289" s="9"/>
      <c r="T1289" s="9"/>
      <c r="U1289" s="9"/>
      <c r="V1289" s="3">
        <v>1089919.99</v>
      </c>
      <c r="W1289" s="24">
        <v>326976</v>
      </c>
      <c r="X1289" s="21"/>
      <c r="Y1289" s="21"/>
      <c r="Z1289" s="24">
        <f>C1289</f>
        <v>23215295.77</v>
      </c>
      <c r="AA1289" s="21"/>
      <c r="AB1289" s="24"/>
      <c r="AC1289" s="18"/>
      <c r="AD1289" s="18">
        <v>2025</v>
      </c>
      <c r="AE1289" s="18">
        <v>2025</v>
      </c>
      <c r="AF1289" s="91"/>
      <c r="AG1289" s="91"/>
    </row>
    <row r="1290" spans="1:33" s="26" customFormat="1" ht="24" customHeight="1">
      <c r="A1290" s="585">
        <f t="shared" si="596"/>
        <v>195</v>
      </c>
      <c r="B1290" s="20" t="s">
        <v>1172</v>
      </c>
      <c r="C1290" s="4">
        <f t="shared" si="611"/>
        <v>6217618.9000000004</v>
      </c>
      <c r="D1290" s="9"/>
      <c r="E1290" s="21"/>
      <c r="F1290" s="21"/>
      <c r="G1290" s="12"/>
      <c r="H1290" s="13"/>
      <c r="I1290" s="13"/>
      <c r="J1290" s="18"/>
      <c r="K1290" s="3"/>
      <c r="L1290" s="12"/>
      <c r="M1290" s="22"/>
      <c r="N1290" s="22"/>
      <c r="O1290" s="22"/>
      <c r="P1290" s="12"/>
      <c r="Q1290" s="12"/>
      <c r="R1290" s="9">
        <v>5838139.8099999996</v>
      </c>
      <c r="S1290" s="9"/>
      <c r="T1290" s="9"/>
      <c r="U1290" s="9"/>
      <c r="V1290" s="3">
        <v>291906.99</v>
      </c>
      <c r="W1290" s="24">
        <v>87572.1</v>
      </c>
      <c r="X1290" s="21"/>
      <c r="Y1290" s="21"/>
      <c r="Z1290" s="24">
        <f>C1290</f>
        <v>6217618.9000000004</v>
      </c>
      <c r="AA1290" s="21"/>
      <c r="AB1290" s="24"/>
      <c r="AC1290" s="18"/>
      <c r="AD1290" s="18">
        <v>2025</v>
      </c>
      <c r="AE1290" s="18">
        <v>2025</v>
      </c>
      <c r="AF1290" s="91"/>
      <c r="AG1290" s="91"/>
    </row>
    <row r="1291" spans="1:33" s="26" customFormat="1" ht="24" customHeight="1">
      <c r="A1291" s="585">
        <f t="shared" si="596"/>
        <v>196</v>
      </c>
      <c r="B1291" s="20" t="s">
        <v>1173</v>
      </c>
      <c r="C1291" s="4">
        <f t="shared" si="611"/>
        <v>4230455.04</v>
      </c>
      <c r="D1291" s="9"/>
      <c r="E1291" s="21"/>
      <c r="F1291" s="21"/>
      <c r="G1291" s="12"/>
      <c r="H1291" s="13"/>
      <c r="I1291" s="13"/>
      <c r="J1291" s="18"/>
      <c r="K1291" s="3"/>
      <c r="L1291" s="12"/>
      <c r="M1291" s="22"/>
      <c r="N1291" s="22"/>
      <c r="O1291" s="22"/>
      <c r="P1291" s="12"/>
      <c r="Q1291" s="12"/>
      <c r="R1291" s="9">
        <v>4230455.04</v>
      </c>
      <c r="S1291" s="9"/>
      <c r="T1291" s="9"/>
      <c r="U1291" s="9"/>
      <c r="V1291" s="3"/>
      <c r="W1291" s="24"/>
      <c r="X1291" s="21"/>
      <c r="Y1291" s="21"/>
      <c r="Z1291" s="24">
        <f>C1291</f>
        <v>4230455.04</v>
      </c>
      <c r="AA1291" s="21"/>
      <c r="AB1291" s="24"/>
      <c r="AC1291" s="18"/>
      <c r="AD1291" s="18">
        <v>2025</v>
      </c>
      <c r="AE1291" s="18">
        <v>2025</v>
      </c>
      <c r="AF1291" s="91"/>
      <c r="AG1291" s="91"/>
    </row>
    <row r="1292" spans="1:33" s="148" customFormat="1" ht="24" customHeight="1">
      <c r="A1292" s="883" t="s">
        <v>262</v>
      </c>
      <c r="B1292" s="883"/>
      <c r="C1292" s="16">
        <f>SUM(C1131:C1291)</f>
        <v>2161228029.6900001</v>
      </c>
      <c r="D1292" s="16">
        <f t="shared" ref="D1292:AC1292" si="615">SUM(D1131:D1291)</f>
        <v>10773510.73</v>
      </c>
      <c r="E1292" s="396">
        <f t="shared" si="615"/>
        <v>13</v>
      </c>
      <c r="F1292" s="16">
        <f t="shared" si="615"/>
        <v>20885876.539999999</v>
      </c>
      <c r="G1292" s="16">
        <f t="shared" si="615"/>
        <v>27114265.219999999</v>
      </c>
      <c r="H1292" s="16">
        <f t="shared" si="615"/>
        <v>31005783.460000001</v>
      </c>
      <c r="I1292" s="16">
        <f t="shared" si="615"/>
        <v>86447108.870000005</v>
      </c>
      <c r="J1292" s="396">
        <f t="shared" si="615"/>
        <v>15</v>
      </c>
      <c r="K1292" s="16">
        <f t="shared" si="615"/>
        <v>41570100</v>
      </c>
      <c r="L1292" s="16">
        <f t="shared" si="615"/>
        <v>19493442.989999998</v>
      </c>
      <c r="M1292" s="16">
        <f t="shared" si="615"/>
        <v>12028959</v>
      </c>
      <c r="N1292" s="396">
        <f t="shared" si="615"/>
        <v>97</v>
      </c>
      <c r="O1292" s="16">
        <f t="shared" si="615"/>
        <v>349411070</v>
      </c>
      <c r="P1292" s="16">
        <f t="shared" si="615"/>
        <v>577878679.52999997</v>
      </c>
      <c r="Q1292" s="16">
        <f t="shared" si="615"/>
        <v>8173989.6500000004</v>
      </c>
      <c r="R1292" s="16">
        <f t="shared" si="615"/>
        <v>760887232.79999995</v>
      </c>
      <c r="S1292" s="16">
        <f t="shared" si="615"/>
        <v>71200879.459999993</v>
      </c>
      <c r="T1292" s="16">
        <f t="shared" si="615"/>
        <v>0</v>
      </c>
      <c r="U1292" s="16">
        <f t="shared" si="615"/>
        <v>0</v>
      </c>
      <c r="V1292" s="16">
        <f t="shared" si="615"/>
        <v>114346846.91</v>
      </c>
      <c r="W1292" s="16">
        <f t="shared" si="615"/>
        <v>30010284.530000001</v>
      </c>
      <c r="X1292" s="16">
        <f t="shared" si="615"/>
        <v>0</v>
      </c>
      <c r="Y1292" s="16">
        <f t="shared" si="615"/>
        <v>0</v>
      </c>
      <c r="Z1292" s="16">
        <f t="shared" si="615"/>
        <v>1020950609.9299999</v>
      </c>
      <c r="AA1292" s="16">
        <f t="shared" si="615"/>
        <v>0</v>
      </c>
      <c r="AB1292" s="16">
        <f t="shared" si="615"/>
        <v>1140277419.76</v>
      </c>
      <c r="AC1292" s="16">
        <f t="shared" si="615"/>
        <v>0</v>
      </c>
      <c r="AD1292" s="798" t="s">
        <v>29</v>
      </c>
      <c r="AE1292" s="798" t="s">
        <v>29</v>
      </c>
      <c r="AF1292" s="146"/>
      <c r="AG1292" s="147"/>
    </row>
    <row r="1293" spans="1:33" ht="24" customHeight="1">
      <c r="A1293" s="888" t="s">
        <v>360</v>
      </c>
      <c r="B1293" s="888"/>
      <c r="C1293" s="888"/>
      <c r="D1293" s="888"/>
      <c r="E1293" s="888"/>
      <c r="F1293" s="888"/>
      <c r="G1293" s="888"/>
      <c r="H1293" s="888"/>
      <c r="I1293" s="888"/>
      <c r="J1293" s="888"/>
      <c r="K1293" s="888"/>
      <c r="L1293" s="888"/>
      <c r="M1293" s="888"/>
      <c r="N1293" s="888"/>
      <c r="O1293" s="888"/>
      <c r="P1293" s="888"/>
      <c r="Q1293" s="888"/>
      <c r="R1293" s="888"/>
      <c r="S1293" s="888"/>
      <c r="T1293" s="889"/>
      <c r="U1293" s="889"/>
      <c r="V1293" s="888"/>
      <c r="W1293" s="888"/>
      <c r="X1293" s="888"/>
      <c r="Y1293" s="888"/>
      <c r="Z1293" s="888"/>
      <c r="AA1293" s="888"/>
      <c r="AB1293" s="888"/>
      <c r="AC1293" s="888"/>
      <c r="AD1293" s="888"/>
      <c r="AE1293" s="888"/>
      <c r="AF1293" s="808"/>
      <c r="AG1293" s="806"/>
    </row>
    <row r="1294" spans="1:33" ht="24" customHeight="1">
      <c r="A1294" s="231">
        <f>A1291+1</f>
        <v>197</v>
      </c>
      <c r="B1294" s="235" t="s">
        <v>853</v>
      </c>
      <c r="C1294" s="232">
        <f t="shared" ref="C1294:C1296" si="616">D1294+F1294+G1294+H1294+I1294+K1294+L1294+M1294+O1294+P1294+Q1294+R1294+S1294+W1294+V1294+X1294</f>
        <v>37998919.990000002</v>
      </c>
      <c r="D1294" s="228"/>
      <c r="E1294" s="265"/>
      <c r="F1294" s="228"/>
      <c r="G1294" s="182"/>
      <c r="H1294" s="234"/>
      <c r="I1294" s="234">
        <v>8232100.21</v>
      </c>
      <c r="J1294" s="229"/>
      <c r="K1294" s="228"/>
      <c r="L1294" s="228"/>
      <c r="M1294" s="229"/>
      <c r="N1294" s="266"/>
      <c r="O1294" s="267"/>
      <c r="P1294" s="236">
        <v>8998413.0700000003</v>
      </c>
      <c r="Q1294" s="228"/>
      <c r="R1294" s="230">
        <v>17791532.800000001</v>
      </c>
      <c r="S1294" s="234"/>
      <c r="T1294" s="234"/>
      <c r="U1294" s="234"/>
      <c r="V1294" s="268">
        <v>2451543.2200000002</v>
      </c>
      <c r="W1294" s="252">
        <v>525330.68999999994</v>
      </c>
      <c r="X1294" s="229"/>
      <c r="Y1294" s="230">
        <f>C1294*59%</f>
        <v>22419362.789999999</v>
      </c>
      <c r="Z1294" s="230">
        <f>C1294*41%</f>
        <v>15579557.199999999</v>
      </c>
      <c r="AA1294" s="229"/>
      <c r="AB1294" s="230"/>
      <c r="AC1294" s="231"/>
      <c r="AD1294" s="231">
        <v>2025</v>
      </c>
      <c r="AE1294" s="231">
        <v>2026</v>
      </c>
      <c r="AF1294" s="91"/>
      <c r="AG1294" s="262"/>
    </row>
    <row r="1295" spans="1:33" ht="24" customHeight="1">
      <c r="A1295" s="231">
        <f>A1294+1</f>
        <v>198</v>
      </c>
      <c r="B1295" s="235" t="s">
        <v>854</v>
      </c>
      <c r="C1295" s="232">
        <f t="shared" si="616"/>
        <v>45578352.439999998</v>
      </c>
      <c r="D1295" s="228"/>
      <c r="E1295" s="265"/>
      <c r="F1295" s="228"/>
      <c r="G1295" s="182"/>
      <c r="H1295" s="234"/>
      <c r="I1295" s="234">
        <v>13288366.779999999</v>
      </c>
      <c r="J1295" s="229"/>
      <c r="K1295" s="228"/>
      <c r="L1295" s="228"/>
      <c r="M1295" s="229"/>
      <c r="N1295" s="266"/>
      <c r="O1295" s="267"/>
      <c r="P1295" s="236"/>
      <c r="Q1295" s="228"/>
      <c r="R1295" s="230">
        <v>28719331.329999998</v>
      </c>
      <c r="S1295" s="234"/>
      <c r="T1295" s="234"/>
      <c r="U1295" s="234"/>
      <c r="V1295" s="268">
        <v>2940538.86</v>
      </c>
      <c r="W1295" s="252">
        <v>630115.47</v>
      </c>
      <c r="X1295" s="229"/>
      <c r="Y1295" s="230">
        <f>C1295*59%</f>
        <v>26891227.940000001</v>
      </c>
      <c r="Z1295" s="230">
        <f>C1295*41%</f>
        <v>18687124.5</v>
      </c>
      <c r="AA1295" s="229"/>
      <c r="AB1295" s="230"/>
      <c r="AC1295" s="231"/>
      <c r="AD1295" s="231">
        <v>2025</v>
      </c>
      <c r="AE1295" s="231">
        <v>2026</v>
      </c>
      <c r="AF1295" s="261"/>
      <c r="AG1295" s="262"/>
    </row>
    <row r="1296" spans="1:33" ht="24" customHeight="1">
      <c r="A1296" s="231">
        <f t="shared" ref="A1296:A1314" si="617">A1295+1</f>
        <v>199</v>
      </c>
      <c r="B1296" s="235" t="s">
        <v>855</v>
      </c>
      <c r="C1296" s="232">
        <f t="shared" si="616"/>
        <v>8422922.6999999993</v>
      </c>
      <c r="D1296" s="228"/>
      <c r="E1296" s="265"/>
      <c r="F1296" s="228"/>
      <c r="G1296" s="182"/>
      <c r="H1296" s="234"/>
      <c r="I1296" s="234">
        <v>7763062.3899999997</v>
      </c>
      <c r="J1296" s="229"/>
      <c r="K1296" s="228"/>
      <c r="L1296" s="228"/>
      <c r="M1296" s="229"/>
      <c r="N1296" s="266"/>
      <c r="O1296" s="267"/>
      <c r="P1296" s="236"/>
      <c r="Q1296" s="228"/>
      <c r="R1296" s="230"/>
      <c r="S1296" s="234"/>
      <c r="T1296" s="234"/>
      <c r="U1296" s="234"/>
      <c r="V1296" s="268">
        <v>543414.37</v>
      </c>
      <c r="W1296" s="252">
        <v>116445.94</v>
      </c>
      <c r="X1296" s="229"/>
      <c r="Y1296" s="230">
        <f>C1296*59%</f>
        <v>4969524.3899999997</v>
      </c>
      <c r="Z1296" s="230">
        <f>C1296*41%</f>
        <v>3453398.31</v>
      </c>
      <c r="AA1296" s="229"/>
      <c r="AB1296" s="230"/>
      <c r="AC1296" s="231"/>
      <c r="AD1296" s="231">
        <v>2025</v>
      </c>
      <c r="AE1296" s="231">
        <v>2026</v>
      </c>
      <c r="AF1296" s="261"/>
      <c r="AG1296" s="262"/>
    </row>
    <row r="1297" spans="1:34" s="26" customFormat="1" ht="24" customHeight="1">
      <c r="A1297" s="231">
        <f t="shared" si="617"/>
        <v>200</v>
      </c>
      <c r="B1297" s="48" t="s">
        <v>303</v>
      </c>
      <c r="C1297" s="4">
        <f t="shared" ref="C1297:C1301" si="618">D1297+F1297+G1297+H1297+I1297+K1297+L1297+M1297+O1297+P1297+Q1297+R1297+S1297+W1297+V1297+X1297</f>
        <v>15457272.74</v>
      </c>
      <c r="D1297" s="9"/>
      <c r="E1297" s="21"/>
      <c r="F1297" s="21"/>
      <c r="G1297" s="12"/>
      <c r="H1297" s="21"/>
      <c r="I1297" s="13"/>
      <c r="J1297" s="21"/>
      <c r="K1297" s="9"/>
      <c r="L1297" s="12"/>
      <c r="M1297" s="22"/>
      <c r="N1297" s="22"/>
      <c r="O1297" s="22"/>
      <c r="P1297" s="21"/>
      <c r="Q1297" s="49">
        <f>ROUND(1952.9*1954.25,2)</f>
        <v>3816454.83</v>
      </c>
      <c r="R1297" s="3">
        <f>ROUND(1952.9*3842.27,2)</f>
        <v>7503569.0800000001</v>
      </c>
      <c r="S1297" s="9">
        <f>ROUND(1952.9*1462.9,2)</f>
        <v>2856897.41</v>
      </c>
      <c r="T1297" s="108"/>
      <c r="U1297" s="108"/>
      <c r="V1297" s="3">
        <v>1067697.6000000001</v>
      </c>
      <c r="W1297" s="24">
        <v>212653.82</v>
      </c>
      <c r="X1297" s="21"/>
      <c r="Y1297" s="21"/>
      <c r="Z1297" s="21"/>
      <c r="AA1297" s="21"/>
      <c r="AB1297" s="24">
        <f t="shared" ref="AB1297:AB1301" si="619">C1297</f>
        <v>15457272.74</v>
      </c>
      <c r="AC1297" s="18"/>
      <c r="AD1297" s="18">
        <v>2025</v>
      </c>
      <c r="AE1297" s="18">
        <v>2025</v>
      </c>
      <c r="AF1297" s="25"/>
      <c r="AG1297" s="91"/>
    </row>
    <row r="1298" spans="1:34" s="26" customFormat="1" ht="24" customHeight="1">
      <c r="A1298" s="585">
        <f t="shared" si="617"/>
        <v>201</v>
      </c>
      <c r="B1298" s="602" t="s">
        <v>218</v>
      </c>
      <c r="C1298" s="587">
        <f t="shared" si="618"/>
        <v>24540075.52</v>
      </c>
      <c r="D1298" s="580"/>
      <c r="E1298" s="581"/>
      <c r="F1298" s="581"/>
      <c r="G1298" s="578"/>
      <c r="H1298" s="582"/>
      <c r="I1298" s="582"/>
      <c r="J1298" s="581"/>
      <c r="K1298" s="580"/>
      <c r="L1298" s="578"/>
      <c r="M1298" s="579"/>
      <c r="N1298" s="579"/>
      <c r="O1298" s="579"/>
      <c r="P1298" s="580">
        <v>15493554.67</v>
      </c>
      <c r="Q1298" s="603">
        <f>ROUND(1272.1*1954.25,2)</f>
        <v>2486001.4300000002</v>
      </c>
      <c r="R1298" s="583">
        <f>ROUND(1272.1*3842.27,2)</f>
        <v>4887751.67</v>
      </c>
      <c r="S1298" s="580"/>
      <c r="T1298" s="580"/>
      <c r="U1298" s="580"/>
      <c r="V1298" s="583">
        <f>555080.4+774677.73</f>
        <v>1329758.1299999999</v>
      </c>
      <c r="W1298" s="584">
        <f>110606.3+232403.32</f>
        <v>343009.62</v>
      </c>
      <c r="X1298" s="581"/>
      <c r="Y1298" s="581"/>
      <c r="Z1298" s="581"/>
      <c r="AA1298" s="581"/>
      <c r="AB1298" s="584">
        <f t="shared" si="619"/>
        <v>24540075.52</v>
      </c>
      <c r="AC1298" s="585"/>
      <c r="AD1298" s="585">
        <v>2025</v>
      </c>
      <c r="AE1298" s="585">
        <v>2026</v>
      </c>
      <c r="AF1298" s="91"/>
      <c r="AG1298" s="91"/>
    </row>
    <row r="1299" spans="1:34" s="26" customFormat="1" ht="24" customHeight="1">
      <c r="A1299" s="585">
        <f t="shared" si="617"/>
        <v>202</v>
      </c>
      <c r="B1299" s="602" t="s">
        <v>219</v>
      </c>
      <c r="C1299" s="587">
        <f t="shared" si="618"/>
        <v>25795781.989999998</v>
      </c>
      <c r="D1299" s="580"/>
      <c r="E1299" s="581"/>
      <c r="F1299" s="581"/>
      <c r="G1299" s="578"/>
      <c r="H1299" s="582"/>
      <c r="I1299" s="582"/>
      <c r="J1299" s="581"/>
      <c r="K1299" s="580"/>
      <c r="L1299" s="578"/>
      <c r="M1299" s="579"/>
      <c r="N1299" s="579"/>
      <c r="O1299" s="579"/>
      <c r="P1299" s="580">
        <v>24221391.539999999</v>
      </c>
      <c r="Q1299" s="603"/>
      <c r="R1299" s="583"/>
      <c r="S1299" s="580"/>
      <c r="T1299" s="580"/>
      <c r="U1299" s="580"/>
      <c r="V1299" s="583">
        <v>1211069.58</v>
      </c>
      <c r="W1299" s="584">
        <v>363320.87</v>
      </c>
      <c r="X1299" s="581"/>
      <c r="Y1299" s="581"/>
      <c r="Z1299" s="581"/>
      <c r="AA1299" s="581"/>
      <c r="AB1299" s="584">
        <f t="shared" si="619"/>
        <v>25795781.989999998</v>
      </c>
      <c r="AC1299" s="585"/>
      <c r="AD1299" s="585">
        <v>2025</v>
      </c>
      <c r="AE1299" s="585">
        <v>2026</v>
      </c>
      <c r="AF1299" s="91"/>
      <c r="AG1299" s="91"/>
    </row>
    <row r="1300" spans="1:34" s="26" customFormat="1" ht="24" customHeight="1">
      <c r="A1300" s="585">
        <f t="shared" si="617"/>
        <v>203</v>
      </c>
      <c r="B1300" s="602" t="s">
        <v>220</v>
      </c>
      <c r="C1300" s="587">
        <f t="shared" si="618"/>
        <v>41971289.549999997</v>
      </c>
      <c r="D1300" s="580">
        <f>1998.7*589.88</f>
        <v>1178993.1599999999</v>
      </c>
      <c r="E1300" s="581"/>
      <c r="F1300" s="581"/>
      <c r="G1300" s="578">
        <f>1998.7*596.38</f>
        <v>1191984.71</v>
      </c>
      <c r="H1300" s="582">
        <f>1998.7*1074.75</f>
        <v>2148102.83</v>
      </c>
      <c r="I1300" s="582">
        <f>1998.7*4857.9</f>
        <v>9709484.7300000004</v>
      </c>
      <c r="J1300" s="581"/>
      <c r="K1300" s="580"/>
      <c r="L1300" s="578">
        <f>1998.7*616.25</f>
        <v>1231698.8799999999</v>
      </c>
      <c r="M1300" s="579"/>
      <c r="N1300" s="579"/>
      <c r="O1300" s="579"/>
      <c r="P1300" s="580">
        <v>23817031.809999999</v>
      </c>
      <c r="Q1300" s="580"/>
      <c r="R1300" s="580"/>
      <c r="S1300" s="580"/>
      <c r="T1300" s="580"/>
      <c r="U1300" s="580"/>
      <c r="V1300" s="583">
        <f>913982.4+1190851.59</f>
        <v>2104833.9900000002</v>
      </c>
      <c r="W1300" s="584">
        <f>231903.96+357255.48</f>
        <v>589159.43999999994</v>
      </c>
      <c r="X1300" s="581"/>
      <c r="Y1300" s="581"/>
      <c r="Z1300" s="581"/>
      <c r="AA1300" s="581"/>
      <c r="AB1300" s="584">
        <f t="shared" si="619"/>
        <v>41971289.549999997</v>
      </c>
      <c r="AC1300" s="585"/>
      <c r="AD1300" s="585">
        <v>2025</v>
      </c>
      <c r="AE1300" s="585">
        <v>2026</v>
      </c>
      <c r="AF1300" s="91"/>
      <c r="AG1300" s="91"/>
    </row>
    <row r="1301" spans="1:34" s="26" customFormat="1" ht="24" customHeight="1">
      <c r="A1301" s="585">
        <f t="shared" si="617"/>
        <v>204</v>
      </c>
      <c r="B1301" s="48" t="s">
        <v>118</v>
      </c>
      <c r="C1301" s="4">
        <f t="shared" si="618"/>
        <v>5475738.1200000001</v>
      </c>
      <c r="D1301" s="9"/>
      <c r="E1301" s="21"/>
      <c r="F1301" s="21"/>
      <c r="G1301" s="12"/>
      <c r="H1301" s="13"/>
      <c r="I1301" s="13"/>
      <c r="J1301" s="21"/>
      <c r="K1301" s="9"/>
      <c r="L1301" s="12"/>
      <c r="M1301" s="22"/>
      <c r="N1301" s="22"/>
      <c r="O1301" s="22"/>
      <c r="P1301" s="9"/>
      <c r="Q1301" s="12"/>
      <c r="R1301" s="3">
        <f>ROUND(1249.5*3842.27,2)</f>
        <v>4800916.37</v>
      </c>
      <c r="S1301" s="9"/>
      <c r="T1301" s="108"/>
      <c r="U1301" s="108"/>
      <c r="V1301" s="3">
        <v>602808</v>
      </c>
      <c r="W1301" s="24">
        <v>72013.75</v>
      </c>
      <c r="X1301" s="21"/>
      <c r="Y1301" s="21"/>
      <c r="Z1301" s="21"/>
      <c r="AA1301" s="21"/>
      <c r="AB1301" s="24">
        <f t="shared" si="619"/>
        <v>5475738.1200000001</v>
      </c>
      <c r="AC1301" s="18"/>
      <c r="AD1301" s="18">
        <v>2025</v>
      </c>
      <c r="AE1301" s="18">
        <v>2025</v>
      </c>
      <c r="AF1301" s="25"/>
      <c r="AG1301" s="91"/>
    </row>
    <row r="1302" spans="1:34" s="26" customFormat="1" ht="24" customHeight="1">
      <c r="A1302" s="585">
        <f t="shared" si="617"/>
        <v>205</v>
      </c>
      <c r="B1302" s="48" t="s">
        <v>1174</v>
      </c>
      <c r="C1302" s="4">
        <f>D1302+F1302+G1302+H1302+I1302+K1302+L1302+M1302+O1302+P1302+Q1302+R1302+S1302+W1302+V1302+X1302</f>
        <v>21360867.879999999</v>
      </c>
      <c r="D1302" s="9"/>
      <c r="E1302" s="21"/>
      <c r="F1302" s="21"/>
      <c r="G1302" s="12"/>
      <c r="H1302" s="13"/>
      <c r="I1302" s="13"/>
      <c r="J1302" s="21"/>
      <c r="K1302" s="9"/>
      <c r="L1302" s="12"/>
      <c r="M1302" s="22"/>
      <c r="N1302" s="22"/>
      <c r="O1302" s="22"/>
      <c r="P1302" s="12">
        <v>14139528.17</v>
      </c>
      <c r="Q1302" s="12"/>
      <c r="R1302" s="3">
        <v>5917624.7699999996</v>
      </c>
      <c r="S1302" s="9"/>
      <c r="T1302" s="9"/>
      <c r="U1302" s="9"/>
      <c r="V1302" s="3">
        <f>706976.41+295881.24</f>
        <v>1002857.65</v>
      </c>
      <c r="W1302" s="24">
        <f>212092.92+88764.37</f>
        <v>300857.28999999998</v>
      </c>
      <c r="X1302" s="21"/>
      <c r="Y1302" s="24">
        <f>6302270.38*59%</f>
        <v>3718339.52</v>
      </c>
      <c r="Z1302" s="24">
        <f>6302270.38*41%</f>
        <v>2583930.86</v>
      </c>
      <c r="AA1302" s="21"/>
      <c r="AB1302" s="24">
        <f>C1302-Y1302-Z1302</f>
        <v>15058597.5</v>
      </c>
      <c r="AC1302" s="18"/>
      <c r="AD1302" s="18">
        <v>2025</v>
      </c>
      <c r="AE1302" s="18">
        <v>2026</v>
      </c>
      <c r="AF1302" s="91"/>
      <c r="AG1302" s="262"/>
    </row>
    <row r="1303" spans="1:34" s="26" customFormat="1" ht="24" customHeight="1">
      <c r="A1303" s="585">
        <f t="shared" si="617"/>
        <v>206</v>
      </c>
      <c r="B1303" s="525" t="s">
        <v>937</v>
      </c>
      <c r="C1303" s="521">
        <f>D1303+F1303+G1303+H1303+I1303+K1303+L1303+M1303+O1303+P1303+Q1303+R1303+S1303+U1303+W1303+V1303+X1303</f>
        <v>390232.18</v>
      </c>
      <c r="D1303" s="526"/>
      <c r="E1303" s="527"/>
      <c r="F1303" s="527"/>
      <c r="G1303" s="528"/>
      <c r="H1303" s="527"/>
      <c r="I1303" s="529"/>
      <c r="J1303" s="527"/>
      <c r="K1303" s="530"/>
      <c r="L1303" s="531"/>
      <c r="M1303" s="514"/>
      <c r="N1303" s="514"/>
      <c r="O1303" s="514"/>
      <c r="P1303" s="528"/>
      <c r="Q1303" s="528"/>
      <c r="R1303" s="526"/>
      <c r="S1303" s="526"/>
      <c r="T1303" s="532">
        <v>1</v>
      </c>
      <c r="U1303" s="533">
        <f>384465.2*T1303</f>
        <v>384465.2</v>
      </c>
      <c r="V1303" s="533"/>
      <c r="W1303" s="527">
        <v>5766.98</v>
      </c>
      <c r="X1303" s="519"/>
      <c r="Y1303" s="518"/>
      <c r="Z1303" s="518">
        <f>C1303</f>
        <v>390232.18</v>
      </c>
      <c r="AA1303" s="519"/>
      <c r="AB1303" s="518"/>
      <c r="AC1303" s="534"/>
      <c r="AD1303" s="520">
        <v>2025</v>
      </c>
      <c r="AE1303" s="520">
        <v>2025</v>
      </c>
      <c r="AF1303" s="25"/>
      <c r="AG1303" s="262"/>
    </row>
    <row r="1304" spans="1:34" s="26" customFormat="1" ht="24" customHeight="1">
      <c r="A1304" s="585">
        <f t="shared" si="617"/>
        <v>207</v>
      </c>
      <c r="B1304" s="525" t="s">
        <v>938</v>
      </c>
      <c r="C1304" s="521">
        <f t="shared" ref="C1304:C1314" si="620">D1304+F1304+G1304+H1304+I1304+K1304+L1304+M1304+O1304+P1304+Q1304+R1304+S1304+U1304+W1304+V1304+X1304</f>
        <v>1263291.7</v>
      </c>
      <c r="D1304" s="526"/>
      <c r="E1304" s="527"/>
      <c r="F1304" s="527"/>
      <c r="G1304" s="528"/>
      <c r="H1304" s="527"/>
      <c r="I1304" s="529"/>
      <c r="J1304" s="527"/>
      <c r="K1304" s="530"/>
      <c r="L1304" s="531"/>
      <c r="M1304" s="514"/>
      <c r="N1304" s="514"/>
      <c r="O1304" s="514"/>
      <c r="P1304" s="528"/>
      <c r="Q1304" s="528"/>
      <c r="R1304" s="526"/>
      <c r="S1304" s="526"/>
      <c r="T1304" s="532">
        <v>2</v>
      </c>
      <c r="U1304" s="533">
        <f>622311.18*T1304</f>
        <v>1244622.3600000001</v>
      </c>
      <c r="V1304" s="533"/>
      <c r="W1304" s="527">
        <v>18669.34</v>
      </c>
      <c r="X1304" s="519"/>
      <c r="Y1304" s="518"/>
      <c r="Z1304" s="518">
        <f t="shared" ref="Z1304:Z1313" si="621">C1304</f>
        <v>1263291.7</v>
      </c>
      <c r="AA1304" s="535"/>
      <c r="AB1304" s="518"/>
      <c r="AC1304" s="534"/>
      <c r="AD1304" s="520">
        <v>2025</v>
      </c>
      <c r="AE1304" s="520">
        <v>2025</v>
      </c>
      <c r="AF1304" s="25"/>
      <c r="AG1304" s="262"/>
    </row>
    <row r="1305" spans="1:34" s="26" customFormat="1" ht="24" customHeight="1">
      <c r="A1305" s="585">
        <f t="shared" si="617"/>
        <v>208</v>
      </c>
      <c r="B1305" s="525" t="s">
        <v>921</v>
      </c>
      <c r="C1305" s="521">
        <f t="shared" si="620"/>
        <v>1263019.76</v>
      </c>
      <c r="D1305" s="526"/>
      <c r="E1305" s="527"/>
      <c r="F1305" s="527"/>
      <c r="G1305" s="528"/>
      <c r="H1305" s="527"/>
      <c r="I1305" s="529"/>
      <c r="J1305" s="527"/>
      <c r="K1305" s="530"/>
      <c r="L1305" s="531"/>
      <c r="M1305" s="514"/>
      <c r="N1305" s="514"/>
      <c r="O1305" s="514"/>
      <c r="P1305" s="528"/>
      <c r="Q1305" s="528"/>
      <c r="R1305" s="526"/>
      <c r="S1305" s="526"/>
      <c r="T1305" s="532">
        <v>2</v>
      </c>
      <c r="U1305" s="533">
        <f>622177.22*T1305</f>
        <v>1244354.44</v>
      </c>
      <c r="V1305" s="533"/>
      <c r="W1305" s="527">
        <v>18665.32</v>
      </c>
      <c r="X1305" s="519"/>
      <c r="Y1305" s="518"/>
      <c r="Z1305" s="518">
        <f t="shared" si="621"/>
        <v>1263019.76</v>
      </c>
      <c r="AA1305" s="535"/>
      <c r="AB1305" s="518"/>
      <c r="AC1305" s="536"/>
      <c r="AD1305" s="520">
        <v>2025</v>
      </c>
      <c r="AE1305" s="520">
        <v>2025</v>
      </c>
      <c r="AF1305" s="91"/>
      <c r="AG1305" s="262"/>
      <c r="AH1305" s="262"/>
    </row>
    <row r="1306" spans="1:34" s="26" customFormat="1" ht="24" customHeight="1">
      <c r="A1306" s="585">
        <f t="shared" si="617"/>
        <v>209</v>
      </c>
      <c r="B1306" s="525" t="s">
        <v>939</v>
      </c>
      <c r="C1306" s="521">
        <f t="shared" si="620"/>
        <v>1043293.2</v>
      </c>
      <c r="D1306" s="526"/>
      <c r="E1306" s="527"/>
      <c r="F1306" s="527"/>
      <c r="G1306" s="528"/>
      <c r="H1306" s="527"/>
      <c r="I1306" s="529"/>
      <c r="J1306" s="527"/>
      <c r="K1306" s="530"/>
      <c r="L1306" s="531"/>
      <c r="M1306" s="514"/>
      <c r="N1306" s="514"/>
      <c r="O1306" s="514"/>
      <c r="P1306" s="528"/>
      <c r="Q1306" s="528"/>
      <c r="R1306" s="526"/>
      <c r="S1306" s="526"/>
      <c r="T1306" s="532">
        <v>2</v>
      </c>
      <c r="U1306" s="533">
        <f>513937.54*T1306</f>
        <v>1027875.08</v>
      </c>
      <c r="V1306" s="533"/>
      <c r="W1306" s="527">
        <v>15418.12</v>
      </c>
      <c r="X1306" s="519"/>
      <c r="Y1306" s="518"/>
      <c r="Z1306" s="518">
        <f t="shared" si="621"/>
        <v>1043293.2</v>
      </c>
      <c r="AA1306" s="519"/>
      <c r="AB1306" s="518"/>
      <c r="AC1306" s="534"/>
      <c r="AD1306" s="520">
        <v>2025</v>
      </c>
      <c r="AE1306" s="520">
        <v>2025</v>
      </c>
      <c r="AF1306" s="91"/>
      <c r="AG1306" s="262"/>
      <c r="AH1306" s="262"/>
    </row>
    <row r="1307" spans="1:34" s="26" customFormat="1" ht="24" customHeight="1">
      <c r="A1307" s="585">
        <f t="shared" si="617"/>
        <v>210</v>
      </c>
      <c r="B1307" s="525" t="s">
        <v>940</v>
      </c>
      <c r="C1307" s="521">
        <f t="shared" si="620"/>
        <v>1043293.2</v>
      </c>
      <c r="D1307" s="526"/>
      <c r="E1307" s="527"/>
      <c r="F1307" s="527"/>
      <c r="G1307" s="528"/>
      <c r="H1307" s="527"/>
      <c r="I1307" s="529"/>
      <c r="J1307" s="527"/>
      <c r="K1307" s="530"/>
      <c r="L1307" s="531"/>
      <c r="M1307" s="514"/>
      <c r="N1307" s="514"/>
      <c r="O1307" s="514"/>
      <c r="P1307" s="528"/>
      <c r="Q1307" s="528"/>
      <c r="R1307" s="526"/>
      <c r="S1307" s="526"/>
      <c r="T1307" s="532">
        <v>2</v>
      </c>
      <c r="U1307" s="533">
        <f>513937.54*T1307</f>
        <v>1027875.08</v>
      </c>
      <c r="V1307" s="533"/>
      <c r="W1307" s="527">
        <v>15418.12</v>
      </c>
      <c r="X1307" s="519"/>
      <c r="Y1307" s="519"/>
      <c r="Z1307" s="518">
        <f t="shared" si="621"/>
        <v>1043293.2</v>
      </c>
      <c r="AA1307" s="535"/>
      <c r="AB1307" s="518"/>
      <c r="AC1307" s="534"/>
      <c r="AD1307" s="520">
        <v>2025</v>
      </c>
      <c r="AE1307" s="520">
        <v>2025</v>
      </c>
      <c r="AF1307" s="25"/>
      <c r="AG1307" s="262"/>
    </row>
    <row r="1308" spans="1:34" s="26" customFormat="1" ht="24" customHeight="1">
      <c r="A1308" s="585">
        <f t="shared" si="617"/>
        <v>211</v>
      </c>
      <c r="B1308" s="48" t="s">
        <v>820</v>
      </c>
      <c r="C1308" s="4">
        <f t="shared" si="620"/>
        <v>30826570.449999999</v>
      </c>
      <c r="D1308" s="714"/>
      <c r="E1308" s="97"/>
      <c r="F1308" s="97"/>
      <c r="G1308" s="104">
        <v>2489279.8199999998</v>
      </c>
      <c r="H1308" s="97">
        <v>3572729.32</v>
      </c>
      <c r="I1308" s="784">
        <v>13676482.25</v>
      </c>
      <c r="J1308" s="97"/>
      <c r="K1308" s="715"/>
      <c r="L1308" s="785">
        <v>6127330.7800000003</v>
      </c>
      <c r="M1308" s="12"/>
      <c r="N1308" s="12"/>
      <c r="O1308" s="12"/>
      <c r="P1308" s="104"/>
      <c r="Q1308" s="104"/>
      <c r="R1308" s="714"/>
      <c r="S1308" s="714"/>
      <c r="T1308" s="555">
        <v>4</v>
      </c>
      <c r="U1308" s="716">
        <v>3231004.76</v>
      </c>
      <c r="V1308" s="716">
        <v>1293291.1100000001</v>
      </c>
      <c r="W1308" s="97">
        <f>387987.33+48465.08</f>
        <v>436452.41</v>
      </c>
      <c r="X1308" s="21"/>
      <c r="Y1308" s="24"/>
      <c r="Z1308" s="24">
        <v>3279469.84</v>
      </c>
      <c r="AA1308" s="21"/>
      <c r="AB1308" s="24">
        <f>C1308-Z1308</f>
        <v>27547100.609999999</v>
      </c>
      <c r="AC1308" s="796"/>
      <c r="AD1308" s="18">
        <v>2025</v>
      </c>
      <c r="AE1308" s="18">
        <v>2026</v>
      </c>
      <c r="AF1308" s="91"/>
      <c r="AG1308" s="262"/>
    </row>
    <row r="1309" spans="1:34" s="26" customFormat="1" ht="24" customHeight="1">
      <c r="A1309" s="585">
        <f t="shared" si="617"/>
        <v>212</v>
      </c>
      <c r="B1309" s="525" t="s">
        <v>821</v>
      </c>
      <c r="C1309" s="521">
        <f t="shared" si="620"/>
        <v>3279469.84</v>
      </c>
      <c r="D1309" s="526"/>
      <c r="E1309" s="527"/>
      <c r="F1309" s="527"/>
      <c r="G1309" s="528"/>
      <c r="H1309" s="527"/>
      <c r="I1309" s="529"/>
      <c r="J1309" s="527"/>
      <c r="K1309" s="530"/>
      <c r="L1309" s="531"/>
      <c r="M1309" s="514"/>
      <c r="N1309" s="514"/>
      <c r="O1309" s="514"/>
      <c r="P1309" s="528"/>
      <c r="Q1309" s="528"/>
      <c r="R1309" s="526"/>
      <c r="S1309" s="526"/>
      <c r="T1309" s="532">
        <v>4</v>
      </c>
      <c r="U1309" s="533">
        <f>807751.19*T1309</f>
        <v>3231004.76</v>
      </c>
      <c r="V1309" s="533"/>
      <c r="W1309" s="527">
        <v>48465.08</v>
      </c>
      <c r="X1309" s="519"/>
      <c r="Y1309" s="518"/>
      <c r="Z1309" s="518">
        <f t="shared" si="621"/>
        <v>3279469.84</v>
      </c>
      <c r="AA1309" s="519"/>
      <c r="AB1309" s="518"/>
      <c r="AC1309" s="534"/>
      <c r="AD1309" s="520">
        <v>2025</v>
      </c>
      <c r="AE1309" s="520">
        <v>2025</v>
      </c>
      <c r="AF1309" s="91"/>
      <c r="AG1309" s="262"/>
      <c r="AH1309" s="262"/>
    </row>
    <row r="1310" spans="1:34" s="26" customFormat="1" ht="24" customHeight="1">
      <c r="A1310" s="585">
        <f t="shared" si="617"/>
        <v>213</v>
      </c>
      <c r="B1310" s="525" t="s">
        <v>822</v>
      </c>
      <c r="C1310" s="521">
        <f t="shared" si="620"/>
        <v>3279469.84</v>
      </c>
      <c r="D1310" s="526"/>
      <c r="E1310" s="527"/>
      <c r="F1310" s="527"/>
      <c r="G1310" s="528"/>
      <c r="H1310" s="527"/>
      <c r="I1310" s="529"/>
      <c r="J1310" s="527"/>
      <c r="K1310" s="530"/>
      <c r="L1310" s="531"/>
      <c r="M1310" s="514"/>
      <c r="N1310" s="514"/>
      <c r="O1310" s="514"/>
      <c r="P1310" s="528"/>
      <c r="Q1310" s="528"/>
      <c r="R1310" s="526"/>
      <c r="S1310" s="526"/>
      <c r="T1310" s="532">
        <v>4</v>
      </c>
      <c r="U1310" s="533">
        <f>807751.19*T1310</f>
        <v>3231004.76</v>
      </c>
      <c r="V1310" s="533"/>
      <c r="W1310" s="527">
        <v>48465.08</v>
      </c>
      <c r="X1310" s="519"/>
      <c r="Y1310" s="518"/>
      <c r="Z1310" s="518">
        <f t="shared" si="621"/>
        <v>3279469.84</v>
      </c>
      <c r="AA1310" s="535"/>
      <c r="AB1310" s="518"/>
      <c r="AC1310" s="534"/>
      <c r="AD1310" s="520">
        <v>2025</v>
      </c>
      <c r="AE1310" s="520">
        <v>2025</v>
      </c>
      <c r="AF1310" s="91"/>
      <c r="AG1310" s="262"/>
      <c r="AH1310" s="262"/>
    </row>
    <row r="1311" spans="1:34" s="26" customFormat="1" ht="24" customHeight="1">
      <c r="A1311" s="585">
        <f t="shared" si="617"/>
        <v>214</v>
      </c>
      <c r="B1311" s="525" t="s">
        <v>823</v>
      </c>
      <c r="C1311" s="521">
        <f t="shared" si="620"/>
        <v>3279469.84</v>
      </c>
      <c r="D1311" s="526"/>
      <c r="E1311" s="527"/>
      <c r="F1311" s="527"/>
      <c r="G1311" s="528"/>
      <c r="H1311" s="527"/>
      <c r="I1311" s="529"/>
      <c r="J1311" s="527"/>
      <c r="K1311" s="530"/>
      <c r="L1311" s="531"/>
      <c r="M1311" s="514"/>
      <c r="N1311" s="514"/>
      <c r="O1311" s="514"/>
      <c r="P1311" s="528"/>
      <c r="Q1311" s="528"/>
      <c r="R1311" s="526"/>
      <c r="S1311" s="526"/>
      <c r="T1311" s="532">
        <v>4</v>
      </c>
      <c r="U1311" s="533">
        <f>807751.19*T1311</f>
        <v>3231004.76</v>
      </c>
      <c r="V1311" s="533"/>
      <c r="W1311" s="527">
        <v>48465.08</v>
      </c>
      <c r="X1311" s="519"/>
      <c r="Y1311" s="518"/>
      <c r="Z1311" s="518">
        <f t="shared" si="621"/>
        <v>3279469.84</v>
      </c>
      <c r="AA1311" s="535"/>
      <c r="AB1311" s="518"/>
      <c r="AC1311" s="534"/>
      <c r="AD1311" s="520">
        <v>2025</v>
      </c>
      <c r="AE1311" s="520">
        <v>2025</v>
      </c>
      <c r="AF1311" s="91"/>
      <c r="AG1311" s="262"/>
      <c r="AH1311" s="262"/>
    </row>
    <row r="1312" spans="1:34" s="26" customFormat="1" ht="24" customHeight="1">
      <c r="A1312" s="585">
        <f t="shared" si="617"/>
        <v>215</v>
      </c>
      <c r="B1312" s="525" t="s">
        <v>824</v>
      </c>
      <c r="C1312" s="521">
        <f t="shared" si="620"/>
        <v>3279469.84</v>
      </c>
      <c r="D1312" s="516"/>
      <c r="E1312" s="519"/>
      <c r="F1312" s="519"/>
      <c r="G1312" s="514"/>
      <c r="H1312" s="522"/>
      <c r="I1312" s="522"/>
      <c r="J1312" s="519"/>
      <c r="K1312" s="516"/>
      <c r="L1312" s="514"/>
      <c r="M1312" s="515"/>
      <c r="N1312" s="515"/>
      <c r="O1312" s="515"/>
      <c r="P1312" s="516"/>
      <c r="Q1312" s="514"/>
      <c r="R1312" s="517"/>
      <c r="S1312" s="516"/>
      <c r="T1312" s="537">
        <v>4</v>
      </c>
      <c r="U1312" s="517">
        <f>807751.19*T1312</f>
        <v>3231004.76</v>
      </c>
      <c r="V1312" s="517"/>
      <c r="W1312" s="518">
        <v>48465.08</v>
      </c>
      <c r="X1312" s="519"/>
      <c r="Y1312" s="518"/>
      <c r="Z1312" s="518">
        <f t="shared" si="621"/>
        <v>3279469.84</v>
      </c>
      <c r="AA1312" s="519"/>
      <c r="AB1312" s="518"/>
      <c r="AC1312" s="520"/>
      <c r="AD1312" s="520">
        <v>2025</v>
      </c>
      <c r="AE1312" s="520">
        <v>2025</v>
      </c>
      <c r="AF1312" s="25"/>
      <c r="AG1312" s="262"/>
      <c r="AH1312" s="262"/>
    </row>
    <row r="1313" spans="1:34" s="26" customFormat="1" ht="24" customHeight="1">
      <c r="A1313" s="585">
        <f t="shared" si="617"/>
        <v>216</v>
      </c>
      <c r="B1313" s="525" t="s">
        <v>825</v>
      </c>
      <c r="C1313" s="521">
        <f t="shared" si="620"/>
        <v>2095016.52</v>
      </c>
      <c r="D1313" s="516"/>
      <c r="E1313" s="519"/>
      <c r="F1313" s="519"/>
      <c r="G1313" s="514"/>
      <c r="H1313" s="522"/>
      <c r="I1313" s="522"/>
      <c r="J1313" s="519"/>
      <c r="K1313" s="516"/>
      <c r="L1313" s="514"/>
      <c r="M1313" s="515"/>
      <c r="N1313" s="515"/>
      <c r="O1313" s="515"/>
      <c r="P1313" s="516"/>
      <c r="Q1313" s="514"/>
      <c r="R1313" s="517"/>
      <c r="S1313" s="516"/>
      <c r="T1313" s="537">
        <v>3</v>
      </c>
      <c r="U1313" s="517">
        <f>688018.56*T1313</f>
        <v>2064055.68</v>
      </c>
      <c r="V1313" s="517"/>
      <c r="W1313" s="518">
        <v>30960.84</v>
      </c>
      <c r="X1313" s="519"/>
      <c r="Y1313" s="518"/>
      <c r="Z1313" s="518">
        <f t="shared" si="621"/>
        <v>2095016.52</v>
      </c>
      <c r="AA1313" s="519"/>
      <c r="AB1313" s="518"/>
      <c r="AC1313" s="520"/>
      <c r="AD1313" s="520">
        <v>2025</v>
      </c>
      <c r="AE1313" s="520">
        <v>2025</v>
      </c>
      <c r="AF1313" s="25"/>
      <c r="AG1313" s="262"/>
      <c r="AH1313" s="262"/>
    </row>
    <row r="1314" spans="1:34" s="26" customFormat="1" ht="24" customHeight="1">
      <c r="A1314" s="18">
        <f t="shared" si="617"/>
        <v>217</v>
      </c>
      <c r="B1314" s="48" t="s">
        <v>826</v>
      </c>
      <c r="C1314" s="4">
        <f t="shared" si="620"/>
        <v>9688549.4700000007</v>
      </c>
      <c r="D1314" s="9"/>
      <c r="E1314" s="21"/>
      <c r="F1314" s="21"/>
      <c r="G1314" s="12">
        <v>706501.91</v>
      </c>
      <c r="H1314" s="13">
        <v>1522377.01</v>
      </c>
      <c r="I1314" s="13">
        <v>5157475.25</v>
      </c>
      <c r="J1314" s="21"/>
      <c r="K1314" s="9"/>
      <c r="L1314" s="12">
        <v>1710875.37</v>
      </c>
      <c r="M1314" s="22"/>
      <c r="N1314" s="22"/>
      <c r="O1314" s="22"/>
      <c r="P1314" s="9"/>
      <c r="Q1314" s="12"/>
      <c r="R1314" s="3"/>
      <c r="S1314" s="9"/>
      <c r="T1314" s="397"/>
      <c r="U1314" s="3"/>
      <c r="V1314" s="3">
        <v>454861.48</v>
      </c>
      <c r="W1314" s="24">
        <v>136458.45000000001</v>
      </c>
      <c r="X1314" s="21"/>
      <c r="Y1314" s="24"/>
      <c r="Z1314" s="24"/>
      <c r="AA1314" s="21"/>
      <c r="AB1314" s="24">
        <f>C1314</f>
        <v>9688549.4700000007</v>
      </c>
      <c r="AC1314" s="18"/>
      <c r="AD1314" s="18">
        <v>2025</v>
      </c>
      <c r="AE1314" s="18">
        <v>2026</v>
      </c>
      <c r="AF1314" s="25"/>
      <c r="AG1314" s="262"/>
      <c r="AH1314" s="262"/>
    </row>
    <row r="1315" spans="1:34" s="148" customFormat="1" ht="24" customHeight="1">
      <c r="A1315" s="883" t="s">
        <v>262</v>
      </c>
      <c r="B1315" s="883"/>
      <c r="C1315" s="16">
        <f>SUM(C1294:C1314)</f>
        <v>287332366.76999998</v>
      </c>
      <c r="D1315" s="16">
        <f t="shared" ref="D1315:AC1315" si="622">SUM(D1294:D1314)</f>
        <v>1178993.1599999999</v>
      </c>
      <c r="E1315" s="16">
        <f t="shared" si="622"/>
        <v>0</v>
      </c>
      <c r="F1315" s="16">
        <f t="shared" si="622"/>
        <v>0</v>
      </c>
      <c r="G1315" s="16">
        <f t="shared" si="622"/>
        <v>4387766.4400000004</v>
      </c>
      <c r="H1315" s="16">
        <f t="shared" si="622"/>
        <v>7243209.1600000001</v>
      </c>
      <c r="I1315" s="16">
        <f t="shared" si="622"/>
        <v>57826971.609999999</v>
      </c>
      <c r="J1315" s="16">
        <f t="shared" si="622"/>
        <v>0</v>
      </c>
      <c r="K1315" s="16">
        <f t="shared" si="622"/>
        <v>0</v>
      </c>
      <c r="L1315" s="16">
        <f t="shared" si="622"/>
        <v>9069905.0299999993</v>
      </c>
      <c r="M1315" s="16">
        <f t="shared" si="622"/>
        <v>0</v>
      </c>
      <c r="N1315" s="16">
        <f t="shared" si="622"/>
        <v>0</v>
      </c>
      <c r="O1315" s="16">
        <f t="shared" si="622"/>
        <v>0</v>
      </c>
      <c r="P1315" s="16">
        <f t="shared" si="622"/>
        <v>86669919.260000005</v>
      </c>
      <c r="Q1315" s="16">
        <f t="shared" si="622"/>
        <v>6302456.2599999998</v>
      </c>
      <c r="R1315" s="16">
        <f t="shared" si="622"/>
        <v>69620726.019999996</v>
      </c>
      <c r="S1315" s="16">
        <f t="shared" si="622"/>
        <v>2856897.41</v>
      </c>
      <c r="T1315" s="396">
        <f t="shared" si="622"/>
        <v>32</v>
      </c>
      <c r="U1315" s="16">
        <f t="shared" si="622"/>
        <v>23148271.640000001</v>
      </c>
      <c r="V1315" s="16">
        <f t="shared" si="622"/>
        <v>15002673.99</v>
      </c>
      <c r="W1315" s="16">
        <f t="shared" si="622"/>
        <v>4024576.79</v>
      </c>
      <c r="X1315" s="16">
        <f t="shared" si="622"/>
        <v>0</v>
      </c>
      <c r="Y1315" s="16">
        <f t="shared" si="622"/>
        <v>57998454.640000001</v>
      </c>
      <c r="Z1315" s="16">
        <f t="shared" si="622"/>
        <v>63799506.630000003</v>
      </c>
      <c r="AA1315" s="16">
        <f t="shared" si="622"/>
        <v>0</v>
      </c>
      <c r="AB1315" s="16">
        <f t="shared" si="622"/>
        <v>165534405.5</v>
      </c>
      <c r="AC1315" s="16">
        <f t="shared" si="622"/>
        <v>0</v>
      </c>
      <c r="AD1315" s="798" t="s">
        <v>29</v>
      </c>
      <c r="AE1315" s="798" t="s">
        <v>29</v>
      </c>
      <c r="AF1315" s="146"/>
      <c r="AG1315" s="147"/>
    </row>
    <row r="1316" spans="1:34" ht="24" customHeight="1">
      <c r="A1316" s="931" t="s">
        <v>362</v>
      </c>
      <c r="B1316" s="931"/>
      <c r="C1316" s="931"/>
      <c r="D1316" s="931"/>
      <c r="E1316" s="931"/>
      <c r="F1316" s="931"/>
      <c r="G1316" s="931"/>
      <c r="H1316" s="931"/>
      <c r="I1316" s="931"/>
      <c r="J1316" s="931"/>
      <c r="K1316" s="931"/>
      <c r="L1316" s="931"/>
      <c r="M1316" s="931"/>
      <c r="N1316" s="931"/>
      <c r="O1316" s="931"/>
      <c r="P1316" s="931"/>
      <c r="Q1316" s="931"/>
      <c r="R1316" s="931"/>
      <c r="S1316" s="931"/>
      <c r="T1316" s="931"/>
      <c r="U1316" s="931"/>
      <c r="V1316" s="931"/>
      <c r="W1316" s="931"/>
      <c r="X1316" s="931"/>
      <c r="Y1316" s="931"/>
      <c r="Z1316" s="931"/>
      <c r="AA1316" s="931"/>
      <c r="AB1316" s="931"/>
      <c r="AC1316" s="931"/>
      <c r="AD1316" s="931"/>
      <c r="AE1316" s="931"/>
      <c r="AF1316" s="571"/>
      <c r="AG1316" s="571"/>
    </row>
    <row r="1317" spans="1:34" ht="24" customHeight="1">
      <c r="A1317" s="585">
        <f>A1314+1</f>
        <v>218</v>
      </c>
      <c r="B1317" s="607" t="s">
        <v>1066</v>
      </c>
      <c r="C1317" s="587">
        <f t="shared" ref="C1317:C1320" si="623">D1317+F1317+G1317+H1317+I1317+K1317+L1317+M1317+O1317+P1317+Q1317+R1317+S1317+U1317+W1317+V1317+X1317</f>
        <v>7699915.9199999999</v>
      </c>
      <c r="D1317" s="804"/>
      <c r="E1317" s="804"/>
      <c r="F1317" s="804"/>
      <c r="G1317" s="605"/>
      <c r="H1317" s="804"/>
      <c r="I1317" s="804"/>
      <c r="J1317" s="804"/>
      <c r="K1317" s="804"/>
      <c r="L1317" s="605"/>
      <c r="M1317" s="605"/>
      <c r="N1317" s="844">
        <v>2</v>
      </c>
      <c r="O1317" s="588">
        <v>7229968</v>
      </c>
      <c r="P1317" s="804"/>
      <c r="Q1317" s="804"/>
      <c r="R1317" s="804"/>
      <c r="S1317" s="804"/>
      <c r="T1317" s="804"/>
      <c r="U1317" s="804"/>
      <c r="V1317" s="589">
        <v>361498.4</v>
      </c>
      <c r="W1317" s="589">
        <v>108449.52</v>
      </c>
      <c r="X1317" s="804"/>
      <c r="Y1317" s="804"/>
      <c r="Z1317" s="804"/>
      <c r="AA1317" s="804"/>
      <c r="AB1317" s="584">
        <f>C1317</f>
        <v>7699915.9199999999</v>
      </c>
      <c r="AC1317" s="804"/>
      <c r="AD1317" s="585">
        <v>2025</v>
      </c>
      <c r="AE1317" s="585">
        <v>2026</v>
      </c>
      <c r="AF1317" s="571"/>
      <c r="AG1317" s="571"/>
    </row>
    <row r="1318" spans="1:34" s="26" customFormat="1" ht="24" customHeight="1">
      <c r="A1318" s="585">
        <f>A1317+1</f>
        <v>219</v>
      </c>
      <c r="B1318" s="586" t="s">
        <v>1067</v>
      </c>
      <c r="C1318" s="587">
        <f t="shared" si="623"/>
        <v>22886050.82</v>
      </c>
      <c r="D1318" s="580">
        <v>4410828.8600000003</v>
      </c>
      <c r="E1318" s="580"/>
      <c r="F1318" s="580"/>
      <c r="G1318" s="578">
        <v>5904986.8799999999</v>
      </c>
      <c r="H1318" s="582">
        <v>5403011.3300000001</v>
      </c>
      <c r="I1318" s="582"/>
      <c r="J1318" s="581"/>
      <c r="K1318" s="580"/>
      <c r="L1318" s="578"/>
      <c r="M1318" s="579"/>
      <c r="N1318" s="579"/>
      <c r="O1318" s="579"/>
      <c r="P1318" s="580"/>
      <c r="Q1318" s="580">
        <v>5770422.5300000003</v>
      </c>
      <c r="R1318" s="581"/>
      <c r="S1318" s="582"/>
      <c r="T1318" s="582"/>
      <c r="U1318" s="582"/>
      <c r="V1318" s="583">
        <f>288521.13+295249.34+220541.44+270150.57</f>
        <v>1074462.48</v>
      </c>
      <c r="W1318" s="584">
        <f>ROUND((D1318+F1318+G1318+H1318+I1318+L1318+M1318+O1318+P1318+Q1318+R1318+S1318)*1.5%,2)</f>
        <v>322338.74</v>
      </c>
      <c r="X1318" s="581"/>
      <c r="Y1318" s="581"/>
      <c r="Z1318" s="581"/>
      <c r="AA1318" s="581"/>
      <c r="AB1318" s="584">
        <f t="shared" ref="AB1318:AB1320" si="624">C1318</f>
        <v>22886050.82</v>
      </c>
      <c r="AC1318" s="585"/>
      <c r="AD1318" s="585">
        <v>2025</v>
      </c>
      <c r="AE1318" s="585">
        <v>2026</v>
      </c>
      <c r="AF1318" s="91"/>
      <c r="AG1318" s="91"/>
    </row>
    <row r="1319" spans="1:34" s="26" customFormat="1" ht="24" customHeight="1">
      <c r="A1319" s="585">
        <f>A1318+1</f>
        <v>220</v>
      </c>
      <c r="B1319" s="586" t="s">
        <v>1068</v>
      </c>
      <c r="C1319" s="587">
        <f t="shared" si="623"/>
        <v>2925953.31</v>
      </c>
      <c r="D1319" s="580">
        <v>856388.26</v>
      </c>
      <c r="E1319" s="580"/>
      <c r="F1319" s="580"/>
      <c r="G1319" s="578">
        <v>599397.76</v>
      </c>
      <c r="H1319" s="582">
        <v>1291587.98</v>
      </c>
      <c r="I1319" s="582"/>
      <c r="J1319" s="581"/>
      <c r="K1319" s="580"/>
      <c r="L1319" s="578"/>
      <c r="M1319" s="579"/>
      <c r="N1319" s="579"/>
      <c r="O1319" s="579"/>
      <c r="P1319" s="580"/>
      <c r="Q1319" s="580"/>
      <c r="R1319" s="581"/>
      <c r="S1319" s="582"/>
      <c r="T1319" s="582"/>
      <c r="U1319" s="582"/>
      <c r="V1319" s="583">
        <f>64579.4+29969.89+42819.41</f>
        <v>137368.70000000001</v>
      </c>
      <c r="W1319" s="584">
        <f>ROUND((D1319+F1319+G1319+H1319+I1319+L1319+M1319+O1319+P1319+Q1319+R1319+S1319)*1.5%,2)</f>
        <v>41210.61</v>
      </c>
      <c r="X1319" s="581"/>
      <c r="Y1319" s="581"/>
      <c r="Z1319" s="581"/>
      <c r="AA1319" s="581"/>
      <c r="AB1319" s="584">
        <f t="shared" si="624"/>
        <v>2925953.31</v>
      </c>
      <c r="AC1319" s="585"/>
      <c r="AD1319" s="585">
        <v>2025</v>
      </c>
      <c r="AE1319" s="585">
        <v>2026</v>
      </c>
      <c r="AF1319" s="91"/>
      <c r="AG1319" s="91"/>
    </row>
    <row r="1320" spans="1:34" s="26" customFormat="1" ht="24" customHeight="1">
      <c r="A1320" s="585">
        <f>A1319+1</f>
        <v>221</v>
      </c>
      <c r="B1320" s="586" t="s">
        <v>1069</v>
      </c>
      <c r="C1320" s="587">
        <f t="shared" si="623"/>
        <v>713343.93</v>
      </c>
      <c r="D1320" s="580">
        <v>208786.44</v>
      </c>
      <c r="E1320" s="580"/>
      <c r="F1320" s="580"/>
      <c r="G1320" s="578">
        <v>146132.46</v>
      </c>
      <c r="H1320" s="582">
        <v>314887.61</v>
      </c>
      <c r="I1320" s="582"/>
      <c r="J1320" s="581"/>
      <c r="K1320" s="580"/>
      <c r="L1320" s="578"/>
      <c r="M1320" s="579"/>
      <c r="N1320" s="579"/>
      <c r="O1320" s="579"/>
      <c r="P1320" s="580"/>
      <c r="Q1320" s="580"/>
      <c r="R1320" s="581"/>
      <c r="S1320" s="582"/>
      <c r="T1320" s="582"/>
      <c r="U1320" s="582"/>
      <c r="V1320" s="583">
        <f>15744.38+7306.62+10439.32</f>
        <v>33490.32</v>
      </c>
      <c r="W1320" s="584">
        <f>ROUND((D1320+F1320+G1320+H1320+I1320+L1320+M1320+O1320+P1320+Q1320+R1320+S1320)*1.5%,2)</f>
        <v>10047.1</v>
      </c>
      <c r="X1320" s="581"/>
      <c r="Y1320" s="581"/>
      <c r="Z1320" s="581"/>
      <c r="AA1320" s="581"/>
      <c r="AB1320" s="584">
        <f t="shared" si="624"/>
        <v>713343.93</v>
      </c>
      <c r="AC1320" s="585"/>
      <c r="AD1320" s="585">
        <v>2025</v>
      </c>
      <c r="AE1320" s="585">
        <v>2026</v>
      </c>
      <c r="AF1320" s="91"/>
      <c r="AG1320" s="91"/>
    </row>
    <row r="1321" spans="1:34" s="148" customFormat="1" ht="24" customHeight="1">
      <c r="A1321" s="934" t="s">
        <v>262</v>
      </c>
      <c r="B1321" s="934"/>
      <c r="C1321" s="604">
        <f>SUM(C1317:C1320)</f>
        <v>34225263.979999997</v>
      </c>
      <c r="D1321" s="604">
        <f t="shared" ref="D1321:AC1321" si="625">SUM(D1317:D1320)</f>
        <v>5476003.5599999996</v>
      </c>
      <c r="E1321" s="604">
        <f t="shared" si="625"/>
        <v>0</v>
      </c>
      <c r="F1321" s="604">
        <f t="shared" si="625"/>
        <v>0</v>
      </c>
      <c r="G1321" s="604">
        <f t="shared" si="625"/>
        <v>6650517.0999999996</v>
      </c>
      <c r="H1321" s="604">
        <f t="shared" si="625"/>
        <v>7009486.9199999999</v>
      </c>
      <c r="I1321" s="604">
        <f t="shared" si="625"/>
        <v>0</v>
      </c>
      <c r="J1321" s="604">
        <f t="shared" si="625"/>
        <v>0</v>
      </c>
      <c r="K1321" s="604">
        <f t="shared" si="625"/>
        <v>0</v>
      </c>
      <c r="L1321" s="604">
        <f t="shared" si="625"/>
        <v>0</v>
      </c>
      <c r="M1321" s="604">
        <f t="shared" si="625"/>
        <v>0</v>
      </c>
      <c r="N1321" s="642">
        <f t="shared" si="625"/>
        <v>2</v>
      </c>
      <c r="O1321" s="604">
        <f t="shared" si="625"/>
        <v>7229968</v>
      </c>
      <c r="P1321" s="604">
        <f t="shared" si="625"/>
        <v>0</v>
      </c>
      <c r="Q1321" s="604">
        <f t="shared" si="625"/>
        <v>5770422.5300000003</v>
      </c>
      <c r="R1321" s="604">
        <f t="shared" si="625"/>
        <v>0</v>
      </c>
      <c r="S1321" s="604">
        <f t="shared" si="625"/>
        <v>0</v>
      </c>
      <c r="T1321" s="604">
        <f t="shared" si="625"/>
        <v>0</v>
      </c>
      <c r="U1321" s="604">
        <f t="shared" si="625"/>
        <v>0</v>
      </c>
      <c r="V1321" s="604">
        <f t="shared" si="625"/>
        <v>1606819.9</v>
      </c>
      <c r="W1321" s="604">
        <f t="shared" si="625"/>
        <v>482045.97</v>
      </c>
      <c r="X1321" s="604">
        <f t="shared" si="625"/>
        <v>0</v>
      </c>
      <c r="Y1321" s="604">
        <f t="shared" si="625"/>
        <v>0</v>
      </c>
      <c r="Z1321" s="604">
        <f t="shared" si="625"/>
        <v>0</v>
      </c>
      <c r="AA1321" s="604">
        <f t="shared" si="625"/>
        <v>0</v>
      </c>
      <c r="AB1321" s="604">
        <f t="shared" si="625"/>
        <v>34225263.979999997</v>
      </c>
      <c r="AC1321" s="604">
        <f t="shared" si="625"/>
        <v>0</v>
      </c>
      <c r="AD1321" s="803" t="s">
        <v>29</v>
      </c>
      <c r="AE1321" s="803" t="s">
        <v>29</v>
      </c>
      <c r="AF1321" s="147"/>
      <c r="AG1321" s="147"/>
    </row>
    <row r="1322" spans="1:34" ht="24" customHeight="1">
      <c r="A1322" s="888" t="s">
        <v>363</v>
      </c>
      <c r="B1322" s="888"/>
      <c r="C1322" s="888"/>
      <c r="D1322" s="888"/>
      <c r="E1322" s="888"/>
      <c r="F1322" s="888"/>
      <c r="G1322" s="888"/>
      <c r="H1322" s="888"/>
      <c r="I1322" s="888"/>
      <c r="J1322" s="888"/>
      <c r="K1322" s="888"/>
      <c r="L1322" s="888"/>
      <c r="M1322" s="888"/>
      <c r="N1322" s="888"/>
      <c r="O1322" s="888"/>
      <c r="P1322" s="888"/>
      <c r="Q1322" s="888"/>
      <c r="R1322" s="888"/>
      <c r="S1322" s="888"/>
      <c r="T1322" s="889"/>
      <c r="U1322" s="889"/>
      <c r="V1322" s="888"/>
      <c r="W1322" s="888"/>
      <c r="X1322" s="888"/>
      <c r="Y1322" s="888"/>
      <c r="Z1322" s="888"/>
      <c r="AA1322" s="888"/>
      <c r="AB1322" s="888"/>
      <c r="AC1322" s="888"/>
      <c r="AD1322" s="888"/>
      <c r="AE1322" s="888"/>
      <c r="AF1322" s="808"/>
      <c r="AG1322" s="806"/>
    </row>
    <row r="1323" spans="1:34" s="26" customFormat="1" ht="24" customHeight="1">
      <c r="A1323" s="585">
        <f>A1320+1</f>
        <v>222</v>
      </c>
      <c r="B1323" s="586" t="s">
        <v>226</v>
      </c>
      <c r="C1323" s="587">
        <f t="shared" ref="C1323" si="626">D1323+F1323+G1323+H1323+I1323+K1323+L1323+M1323+O1323+P1323+Q1323+R1323+S1323+U1323+W1323+V1323+X1323</f>
        <v>2951477.1</v>
      </c>
      <c r="D1323" s="580"/>
      <c r="E1323" s="581"/>
      <c r="F1323" s="581"/>
      <c r="G1323" s="578"/>
      <c r="H1323" s="582"/>
      <c r="I1323" s="582"/>
      <c r="J1323" s="581">
        <v>1</v>
      </c>
      <c r="K1323" s="597">
        <v>2771340</v>
      </c>
      <c r="L1323" s="579"/>
      <c r="M1323" s="579"/>
      <c r="N1323" s="579"/>
      <c r="O1323" s="579"/>
      <c r="P1323" s="580"/>
      <c r="Q1323" s="608"/>
      <c r="R1323" s="608"/>
      <c r="S1323" s="608"/>
      <c r="T1323" s="608"/>
      <c r="U1323" s="608"/>
      <c r="V1323" s="609">
        <v>138567</v>
      </c>
      <c r="W1323" s="580">
        <f t="shared" ref="W1323" si="627">ROUND((D1323+F1323+G1323+H1323+I1323+K1323+L1323+M1323+O1323+P1323+Q1323+R1323+S1323)*1.5%,2)</f>
        <v>41570.1</v>
      </c>
      <c r="X1323" s="610"/>
      <c r="Y1323" s="610"/>
      <c r="Z1323" s="610"/>
      <c r="AA1323" s="610"/>
      <c r="AB1323" s="584">
        <f>C1323</f>
        <v>2951477.1</v>
      </c>
      <c r="AC1323" s="585"/>
      <c r="AD1323" s="585">
        <v>2025</v>
      </c>
      <c r="AE1323" s="585">
        <v>2026</v>
      </c>
      <c r="AF1323" s="91"/>
      <c r="AG1323" s="91"/>
    </row>
    <row r="1324" spans="1:34" s="26" customFormat="1" ht="24" customHeight="1">
      <c r="A1324" s="585">
        <f t="shared" ref="A1324:A1368" si="628">A1323+1</f>
        <v>223</v>
      </c>
      <c r="B1324" s="586" t="s">
        <v>309</v>
      </c>
      <c r="C1324" s="587">
        <f t="shared" ref="C1324" si="629">D1324+F1324+G1324+H1324+I1324+K1324+L1324+M1324+O1324+P1324+Q1324+R1324+S1324+W1324+V1324+X1324</f>
        <v>24898691.289999999</v>
      </c>
      <c r="D1324" s="580">
        <f>ROUND(3692.7*643.1,2)</f>
        <v>2374775.37</v>
      </c>
      <c r="E1324" s="581"/>
      <c r="F1324" s="581"/>
      <c r="G1324" s="578">
        <f>ROUND(3692.7*650.2,2)</f>
        <v>2400993.54</v>
      </c>
      <c r="H1324" s="582"/>
      <c r="I1324" s="582">
        <f>ROUND(3692.7*3349.66,2)</f>
        <v>12369289.48</v>
      </c>
      <c r="J1324" s="581">
        <v>1</v>
      </c>
      <c r="K1324" s="597">
        <v>2771340</v>
      </c>
      <c r="L1324" s="578">
        <f>ROUND(3692.7*903.99,2)</f>
        <v>3338163.87</v>
      </c>
      <c r="M1324" s="579"/>
      <c r="N1324" s="579"/>
      <c r="O1324" s="579"/>
      <c r="P1324" s="583"/>
      <c r="Q1324" s="603"/>
      <c r="R1324" s="580"/>
      <c r="S1324" s="581"/>
      <c r="T1324" s="581"/>
      <c r="U1324" s="581"/>
      <c r="V1324" s="583">
        <f>1156743.6+138567</f>
        <v>1295310.6000000001</v>
      </c>
      <c r="W1324" s="584">
        <f>307248.33+41570.1</f>
        <v>348818.43</v>
      </c>
      <c r="X1324" s="581"/>
      <c r="Y1324" s="581"/>
      <c r="Z1324" s="581"/>
      <c r="AA1324" s="581"/>
      <c r="AB1324" s="584">
        <f t="shared" ref="AB1324:AB1338" si="630">C1324</f>
        <v>24898691.289999999</v>
      </c>
      <c r="AC1324" s="585"/>
      <c r="AD1324" s="585">
        <v>2025</v>
      </c>
      <c r="AE1324" s="585">
        <v>2026</v>
      </c>
      <c r="AF1324" s="91"/>
      <c r="AG1324" s="91"/>
    </row>
    <row r="1325" spans="1:34" s="26" customFormat="1" ht="24" customHeight="1">
      <c r="A1325" s="585">
        <f t="shared" si="628"/>
        <v>224</v>
      </c>
      <c r="B1325" s="586" t="s">
        <v>308</v>
      </c>
      <c r="C1325" s="587">
        <f>D1325+F1325+G1325+H1325+I1325+K1325+L1325+M1325+O1325+P1325+Q1325+R1325+S1325+W1325+V1325+X1325</f>
        <v>9365878.5500000007</v>
      </c>
      <c r="D1325" s="580"/>
      <c r="E1325" s="581"/>
      <c r="F1325" s="581"/>
      <c r="G1325" s="578"/>
      <c r="H1325" s="582"/>
      <c r="I1325" s="582"/>
      <c r="J1325" s="581"/>
      <c r="K1325" s="580"/>
      <c r="L1325" s="578"/>
      <c r="M1325" s="579"/>
      <c r="N1325" s="579"/>
      <c r="O1325" s="579"/>
      <c r="P1325" s="583"/>
      <c r="Q1325" s="603"/>
      <c r="R1325" s="580">
        <f>ROUND(2637.5*3170.13,2)</f>
        <v>8361217.8799999999</v>
      </c>
      <c r="S1325" s="580"/>
      <c r="T1325" s="580"/>
      <c r="U1325" s="580"/>
      <c r="V1325" s="583">
        <v>879242.4</v>
      </c>
      <c r="W1325" s="584">
        <f>ROUND((D1325+G1325+H1325+I1325+L1325+K1325+F1325+O1325+P1325+Q1325+R1325+S1325)*1.5%,2)</f>
        <v>125418.27</v>
      </c>
      <c r="X1325" s="581"/>
      <c r="Y1325" s="581"/>
      <c r="Z1325" s="581"/>
      <c r="AA1325" s="581"/>
      <c r="AB1325" s="584">
        <f t="shared" si="630"/>
        <v>9365878.5500000007</v>
      </c>
      <c r="AC1325" s="585"/>
      <c r="AD1325" s="585">
        <v>2025</v>
      </c>
      <c r="AE1325" s="585">
        <v>2025</v>
      </c>
      <c r="AF1325" s="91"/>
      <c r="AG1325" s="91"/>
    </row>
    <row r="1326" spans="1:34" s="26" customFormat="1" ht="24" customHeight="1">
      <c r="A1326" s="585">
        <f t="shared" si="628"/>
        <v>225</v>
      </c>
      <c r="B1326" s="586" t="s">
        <v>1070</v>
      </c>
      <c r="C1326" s="587">
        <f t="shared" ref="C1326:C1337" si="631">D1326+F1326+G1326+H1326+I1326+K1326+L1326+M1326+O1326+P1326+Q1326+R1326+S1326+U1326+W1326+V1326+X1326</f>
        <v>2951477.1</v>
      </c>
      <c r="D1326" s="580"/>
      <c r="E1326" s="581"/>
      <c r="F1326" s="581"/>
      <c r="G1326" s="578"/>
      <c r="H1326" s="582"/>
      <c r="I1326" s="582"/>
      <c r="J1326" s="581">
        <v>1</v>
      </c>
      <c r="K1326" s="597">
        <v>2771340</v>
      </c>
      <c r="L1326" s="579"/>
      <c r="M1326" s="579"/>
      <c r="N1326" s="579"/>
      <c r="O1326" s="579"/>
      <c r="P1326" s="580"/>
      <c r="Q1326" s="608"/>
      <c r="R1326" s="608"/>
      <c r="S1326" s="608"/>
      <c r="T1326" s="608"/>
      <c r="U1326" s="608"/>
      <c r="V1326" s="609">
        <v>138567</v>
      </c>
      <c r="W1326" s="580">
        <f t="shared" ref="W1326:W1328" si="632">ROUND((D1326+F1326+G1326+H1326+I1326+K1326+L1326+M1326+O1326+P1326+Q1326+R1326+S1326)*1.5%,2)</f>
        <v>41570.1</v>
      </c>
      <c r="X1326" s="610"/>
      <c r="Y1326" s="610"/>
      <c r="Z1326" s="610"/>
      <c r="AA1326" s="610"/>
      <c r="AB1326" s="584">
        <f t="shared" si="630"/>
        <v>2951477.1</v>
      </c>
      <c r="AC1326" s="585"/>
      <c r="AD1326" s="585">
        <v>2025</v>
      </c>
      <c r="AE1326" s="585">
        <v>2026</v>
      </c>
      <c r="AF1326" s="91"/>
      <c r="AG1326" s="91"/>
    </row>
    <row r="1327" spans="1:34" s="26" customFormat="1" ht="24" customHeight="1">
      <c r="A1327" s="585">
        <f t="shared" si="628"/>
        <v>226</v>
      </c>
      <c r="B1327" s="586" t="s">
        <v>1071</v>
      </c>
      <c r="C1327" s="587">
        <f t="shared" si="631"/>
        <v>2951477.1</v>
      </c>
      <c r="D1327" s="580"/>
      <c r="E1327" s="581"/>
      <c r="F1327" s="581"/>
      <c r="G1327" s="578"/>
      <c r="H1327" s="582"/>
      <c r="I1327" s="582"/>
      <c r="J1327" s="581">
        <v>1</v>
      </c>
      <c r="K1327" s="597">
        <v>2771340</v>
      </c>
      <c r="L1327" s="579"/>
      <c r="M1327" s="579"/>
      <c r="N1327" s="579"/>
      <c r="O1327" s="579"/>
      <c r="P1327" s="580"/>
      <c r="Q1327" s="608"/>
      <c r="R1327" s="608"/>
      <c r="S1327" s="608"/>
      <c r="T1327" s="608"/>
      <c r="U1327" s="608"/>
      <c r="V1327" s="609">
        <v>138567</v>
      </c>
      <c r="W1327" s="580">
        <f t="shared" si="632"/>
        <v>41570.1</v>
      </c>
      <c r="X1327" s="610"/>
      <c r="Y1327" s="610"/>
      <c r="Z1327" s="610"/>
      <c r="AA1327" s="610"/>
      <c r="AB1327" s="584">
        <f t="shared" si="630"/>
        <v>2951477.1</v>
      </c>
      <c r="AC1327" s="585"/>
      <c r="AD1327" s="585">
        <v>2025</v>
      </c>
      <c r="AE1327" s="585">
        <v>2026</v>
      </c>
      <c r="AF1327" s="91"/>
      <c r="AG1327" s="91"/>
    </row>
    <row r="1328" spans="1:34" s="26" customFormat="1" ht="24" customHeight="1">
      <c r="A1328" s="585">
        <f t="shared" si="628"/>
        <v>227</v>
      </c>
      <c r="B1328" s="435" t="s">
        <v>1120</v>
      </c>
      <c r="C1328" s="418">
        <f t="shared" si="631"/>
        <v>11502000</v>
      </c>
      <c r="D1328" s="428"/>
      <c r="E1328" s="420"/>
      <c r="F1328" s="420"/>
      <c r="G1328" s="421"/>
      <c r="H1328" s="429"/>
      <c r="I1328" s="429"/>
      <c r="J1328" s="420"/>
      <c r="K1328" s="573"/>
      <c r="L1328" s="422"/>
      <c r="M1328" s="422"/>
      <c r="N1328" s="422">
        <v>3</v>
      </c>
      <c r="O1328" s="436">
        <f>3600000*N1328</f>
        <v>10800000</v>
      </c>
      <c r="P1328" s="428"/>
      <c r="Q1328" s="438"/>
      <c r="R1328" s="438"/>
      <c r="S1328" s="438"/>
      <c r="T1328" s="438"/>
      <c r="U1328" s="438"/>
      <c r="V1328" s="440">
        <v>540000</v>
      </c>
      <c r="W1328" s="428">
        <f t="shared" si="632"/>
        <v>162000</v>
      </c>
      <c r="X1328" s="646"/>
      <c r="Y1328" s="646"/>
      <c r="Z1328" s="425">
        <f>C1328</f>
        <v>11502000</v>
      </c>
      <c r="AA1328" s="646"/>
      <c r="AB1328" s="425"/>
      <c r="AC1328" s="426"/>
      <c r="AD1328" s="426">
        <v>2025</v>
      </c>
      <c r="AE1328" s="426">
        <v>2025</v>
      </c>
      <c r="AF1328" s="91"/>
      <c r="AG1328" s="91"/>
    </row>
    <row r="1329" spans="1:33" s="26" customFormat="1" ht="24" customHeight="1">
      <c r="A1329" s="585">
        <f t="shared" si="628"/>
        <v>228</v>
      </c>
      <c r="B1329" s="586" t="s">
        <v>1072</v>
      </c>
      <c r="C1329" s="587">
        <f t="shared" si="631"/>
        <v>2951477.1</v>
      </c>
      <c r="D1329" s="580"/>
      <c r="E1329" s="580"/>
      <c r="F1329" s="580"/>
      <c r="G1329" s="578"/>
      <c r="H1329" s="582"/>
      <c r="I1329" s="582"/>
      <c r="J1329" s="581">
        <v>1</v>
      </c>
      <c r="K1329" s="597">
        <v>2771340</v>
      </c>
      <c r="L1329" s="579"/>
      <c r="M1329" s="579"/>
      <c r="N1329" s="579"/>
      <c r="O1329" s="579"/>
      <c r="P1329" s="580"/>
      <c r="Q1329" s="608"/>
      <c r="R1329" s="608"/>
      <c r="S1329" s="608"/>
      <c r="T1329" s="608"/>
      <c r="U1329" s="608"/>
      <c r="V1329" s="609">
        <v>138567</v>
      </c>
      <c r="W1329" s="580">
        <f>ROUND((D1329+F1329+G1329+H1329+I1329+K1329+L1329+M1329+O1329+P1329+Q1329+R1329+S1329)*1.5%,2)</f>
        <v>41570.1</v>
      </c>
      <c r="X1329" s="610"/>
      <c r="Y1329" s="610"/>
      <c r="Z1329" s="610"/>
      <c r="AA1329" s="610"/>
      <c r="AB1329" s="584">
        <f t="shared" si="630"/>
        <v>2951477.1</v>
      </c>
      <c r="AC1329" s="585"/>
      <c r="AD1329" s="585">
        <v>2025</v>
      </c>
      <c r="AE1329" s="585">
        <v>2026</v>
      </c>
      <c r="AF1329" s="91"/>
      <c r="AG1329" s="262"/>
    </row>
    <row r="1330" spans="1:33" s="26" customFormat="1" ht="24" customHeight="1">
      <c r="A1330" s="585">
        <f t="shared" si="628"/>
        <v>229</v>
      </c>
      <c r="B1330" s="586" t="s">
        <v>1073</v>
      </c>
      <c r="C1330" s="587">
        <f t="shared" si="631"/>
        <v>2951477.1</v>
      </c>
      <c r="D1330" s="580"/>
      <c r="E1330" s="580"/>
      <c r="F1330" s="580"/>
      <c r="G1330" s="578"/>
      <c r="H1330" s="582"/>
      <c r="I1330" s="582"/>
      <c r="J1330" s="581">
        <v>1</v>
      </c>
      <c r="K1330" s="597">
        <v>2771340</v>
      </c>
      <c r="L1330" s="579"/>
      <c r="M1330" s="579"/>
      <c r="N1330" s="579"/>
      <c r="O1330" s="579"/>
      <c r="P1330" s="580"/>
      <c r="Q1330" s="608"/>
      <c r="R1330" s="608"/>
      <c r="S1330" s="608"/>
      <c r="T1330" s="608"/>
      <c r="U1330" s="608"/>
      <c r="V1330" s="609">
        <v>138567</v>
      </c>
      <c r="W1330" s="580">
        <f t="shared" ref="W1330:W1331" si="633">ROUND((D1330+F1330+G1330+H1330+I1330+K1330+L1330+M1330+O1330+P1330+Q1330+R1330+S1330)*1.5%,2)</f>
        <v>41570.1</v>
      </c>
      <c r="X1330" s="610"/>
      <c r="Y1330" s="610"/>
      <c r="Z1330" s="610"/>
      <c r="AA1330" s="610"/>
      <c r="AB1330" s="584">
        <f t="shared" si="630"/>
        <v>2951477.1</v>
      </c>
      <c r="AC1330" s="585"/>
      <c r="AD1330" s="585">
        <v>2025</v>
      </c>
      <c r="AE1330" s="585">
        <v>2026</v>
      </c>
      <c r="AF1330" s="91"/>
      <c r="AG1330" s="262"/>
    </row>
    <row r="1331" spans="1:33" s="26" customFormat="1" ht="24" customHeight="1">
      <c r="A1331" s="585">
        <f t="shared" si="628"/>
        <v>230</v>
      </c>
      <c r="B1331" s="586" t="s">
        <v>1074</v>
      </c>
      <c r="C1331" s="587">
        <f t="shared" si="631"/>
        <v>2951477.1</v>
      </c>
      <c r="D1331" s="580"/>
      <c r="E1331" s="580"/>
      <c r="F1331" s="580"/>
      <c r="G1331" s="578"/>
      <c r="H1331" s="582"/>
      <c r="I1331" s="582"/>
      <c r="J1331" s="581">
        <v>1</v>
      </c>
      <c r="K1331" s="597">
        <v>2771340</v>
      </c>
      <c r="L1331" s="579"/>
      <c r="M1331" s="579"/>
      <c r="N1331" s="579"/>
      <c r="O1331" s="579"/>
      <c r="P1331" s="580"/>
      <c r="Q1331" s="608"/>
      <c r="R1331" s="608"/>
      <c r="S1331" s="608"/>
      <c r="T1331" s="608"/>
      <c r="U1331" s="608"/>
      <c r="V1331" s="609">
        <v>138567</v>
      </c>
      <c r="W1331" s="580">
        <f t="shared" si="633"/>
        <v>41570.1</v>
      </c>
      <c r="X1331" s="610"/>
      <c r="Y1331" s="610"/>
      <c r="Z1331" s="610"/>
      <c r="AA1331" s="610"/>
      <c r="AB1331" s="584">
        <f t="shared" si="630"/>
        <v>2951477.1</v>
      </c>
      <c r="AC1331" s="585"/>
      <c r="AD1331" s="585">
        <v>2025</v>
      </c>
      <c r="AE1331" s="585">
        <v>2026</v>
      </c>
      <c r="AF1331" s="91"/>
      <c r="AG1331" s="262"/>
    </row>
    <row r="1332" spans="1:33" s="26" customFormat="1" ht="24" customHeight="1">
      <c r="A1332" s="585">
        <f t="shared" si="628"/>
        <v>231</v>
      </c>
      <c r="B1332" s="586" t="s">
        <v>311</v>
      </c>
      <c r="C1332" s="587">
        <f>D1332+F1332+G1332+H1332+I1332+K1332+L1332+M1332+O1332+P1332+Q1332+R1332+S1332+W1332+V1332+X1332</f>
        <v>22415689.879999999</v>
      </c>
      <c r="D1332" s="580">
        <v>2315439.29</v>
      </c>
      <c r="E1332" s="580"/>
      <c r="F1332" s="580"/>
      <c r="G1332" s="578">
        <v>3099788.96</v>
      </c>
      <c r="H1332" s="582">
        <v>2836279.78</v>
      </c>
      <c r="I1332" s="582"/>
      <c r="J1332" s="581">
        <v>1</v>
      </c>
      <c r="K1332" s="597">
        <v>2771340</v>
      </c>
      <c r="L1332" s="578"/>
      <c r="M1332" s="579"/>
      <c r="N1332" s="579"/>
      <c r="O1332" s="579"/>
      <c r="P1332" s="583"/>
      <c r="Q1332" s="580"/>
      <c r="R1332" s="580">
        <f>ROUND(3013.6*3170.13,2)</f>
        <v>9553503.7699999996</v>
      </c>
      <c r="S1332" s="582"/>
      <c r="T1332" s="582"/>
      <c r="U1332" s="582"/>
      <c r="V1332" s="583">
        <f>979550.4+138567+115771.96+154989.45+141813.99</f>
        <v>1530692.8</v>
      </c>
      <c r="W1332" s="584">
        <f>143302.56+41570.1+34731.59+46496.83+42544.2</f>
        <v>308645.28000000003</v>
      </c>
      <c r="X1332" s="581"/>
      <c r="Y1332" s="581"/>
      <c r="Z1332" s="581"/>
      <c r="AA1332" s="581"/>
      <c r="AB1332" s="584">
        <f t="shared" si="630"/>
        <v>22415689.879999999</v>
      </c>
      <c r="AC1332" s="585"/>
      <c r="AD1332" s="585">
        <v>2025</v>
      </c>
      <c r="AE1332" s="585">
        <v>2026</v>
      </c>
      <c r="AF1332" s="91"/>
      <c r="AG1332" s="91"/>
    </row>
    <row r="1333" spans="1:33" s="26" customFormat="1" ht="24" customHeight="1">
      <c r="A1333" s="585">
        <f t="shared" si="628"/>
        <v>232</v>
      </c>
      <c r="B1333" s="586" t="s">
        <v>1075</v>
      </c>
      <c r="C1333" s="587">
        <f t="shared" si="631"/>
        <v>3181917.24</v>
      </c>
      <c r="D1333" s="580"/>
      <c r="E1333" s="580"/>
      <c r="F1333" s="580"/>
      <c r="G1333" s="578"/>
      <c r="H1333" s="582"/>
      <c r="I1333" s="582"/>
      <c r="J1333" s="581"/>
      <c r="K1333" s="580"/>
      <c r="L1333" s="578"/>
      <c r="M1333" s="579"/>
      <c r="N1333" s="579"/>
      <c r="O1333" s="579"/>
      <c r="P1333" s="583"/>
      <c r="Q1333" s="580"/>
      <c r="R1333" s="580"/>
      <c r="S1333" s="582">
        <v>2987715.71</v>
      </c>
      <c r="T1333" s="582"/>
      <c r="U1333" s="582"/>
      <c r="V1333" s="583">
        <v>149385.79</v>
      </c>
      <c r="W1333" s="584">
        <v>44815.74</v>
      </c>
      <c r="X1333" s="581"/>
      <c r="Y1333" s="581"/>
      <c r="Z1333" s="581"/>
      <c r="AA1333" s="581"/>
      <c r="AB1333" s="584">
        <f t="shared" si="630"/>
        <v>3181917.24</v>
      </c>
      <c r="AC1333" s="585"/>
      <c r="AD1333" s="585">
        <v>2025</v>
      </c>
      <c r="AE1333" s="585">
        <v>2026</v>
      </c>
      <c r="AF1333" s="91"/>
      <c r="AG1333" s="91"/>
    </row>
    <row r="1334" spans="1:33" s="26" customFormat="1" ht="24" customHeight="1">
      <c r="A1334" s="585">
        <f t="shared" si="628"/>
        <v>233</v>
      </c>
      <c r="B1334" s="586" t="s">
        <v>588</v>
      </c>
      <c r="C1334" s="587">
        <f t="shared" si="631"/>
        <v>29666729.780000001</v>
      </c>
      <c r="D1334" s="580">
        <v>2620005.2999999998</v>
      </c>
      <c r="E1334" s="580"/>
      <c r="F1334" s="580"/>
      <c r="G1334" s="578">
        <v>3507526</v>
      </c>
      <c r="H1334" s="582"/>
      <c r="I1334" s="582">
        <v>13273186.300000001</v>
      </c>
      <c r="J1334" s="581">
        <v>1</v>
      </c>
      <c r="K1334" s="597">
        <v>2771340</v>
      </c>
      <c r="L1334" s="598">
        <v>5684026.7000000002</v>
      </c>
      <c r="M1334" s="579"/>
      <c r="N1334" s="579"/>
      <c r="O1334" s="579"/>
      <c r="P1334" s="580"/>
      <c r="Q1334" s="608"/>
      <c r="R1334" s="608"/>
      <c r="S1334" s="608"/>
      <c r="T1334" s="608"/>
      <c r="U1334" s="608"/>
      <c r="V1334" s="609">
        <v>1392804.22</v>
      </c>
      <c r="W1334" s="580">
        <f>ROUND((D1334+F1334+G1334+H1334+I1334+K1334+L1334+M1334+O1334+P1334+Q1334+R1334+S1334)*1.5%,2)</f>
        <v>417841.26</v>
      </c>
      <c r="X1334" s="581"/>
      <c r="Y1334" s="581"/>
      <c r="Z1334" s="581"/>
      <c r="AA1334" s="581"/>
      <c r="AB1334" s="584">
        <f t="shared" si="630"/>
        <v>29666729.780000001</v>
      </c>
      <c r="AC1334" s="585"/>
      <c r="AD1334" s="585">
        <v>2025</v>
      </c>
      <c r="AE1334" s="585">
        <v>2026</v>
      </c>
      <c r="AF1334" s="91"/>
      <c r="AG1334" s="91"/>
    </row>
    <row r="1335" spans="1:33" s="26" customFormat="1" ht="24" customHeight="1">
      <c r="A1335" s="585">
        <f t="shared" si="628"/>
        <v>234</v>
      </c>
      <c r="B1335" s="586" t="s">
        <v>310</v>
      </c>
      <c r="C1335" s="587">
        <f t="shared" ref="C1335:C1338" si="634">D1335+F1335+G1335+H1335+I1335+K1335+L1335+M1335+O1335+P1335+Q1335+R1335+S1335+W1335+V1335+X1335</f>
        <v>15651245.109999999</v>
      </c>
      <c r="D1335" s="580"/>
      <c r="E1335" s="581"/>
      <c r="F1335" s="581"/>
      <c r="G1335" s="578"/>
      <c r="H1335" s="582"/>
      <c r="I1335" s="582">
        <f>ROUND(2823.1*3349.66,2)</f>
        <v>9456425.1500000004</v>
      </c>
      <c r="J1335" s="581">
        <v>1</v>
      </c>
      <c r="K1335" s="597">
        <v>2771340</v>
      </c>
      <c r="L1335" s="578">
        <f>ROUND(2823.1*903.99,2)</f>
        <v>2552054.17</v>
      </c>
      <c r="M1335" s="579"/>
      <c r="N1335" s="579"/>
      <c r="O1335" s="579"/>
      <c r="P1335" s="583"/>
      <c r="Q1335" s="603"/>
      <c r="R1335" s="580"/>
      <c r="S1335" s="581"/>
      <c r="T1335" s="581"/>
      <c r="U1335" s="581"/>
      <c r="V1335" s="583">
        <f>511161.6+138567</f>
        <v>649728.6</v>
      </c>
      <c r="W1335" s="584">
        <f>180127.19+41570</f>
        <v>221697.19</v>
      </c>
      <c r="X1335" s="581"/>
      <c r="Y1335" s="581"/>
      <c r="Z1335" s="581"/>
      <c r="AA1335" s="581"/>
      <c r="AB1335" s="584">
        <f t="shared" si="630"/>
        <v>15651245.109999999</v>
      </c>
      <c r="AC1335" s="585"/>
      <c r="AD1335" s="585">
        <v>2025</v>
      </c>
      <c r="AE1335" s="585">
        <v>2026</v>
      </c>
      <c r="AF1335" s="91"/>
      <c r="AG1335" s="91"/>
    </row>
    <row r="1336" spans="1:33" s="26" customFormat="1" ht="24" customHeight="1">
      <c r="A1336" s="585">
        <f t="shared" si="628"/>
        <v>235</v>
      </c>
      <c r="B1336" s="586" t="s">
        <v>585</v>
      </c>
      <c r="C1336" s="587">
        <f t="shared" si="631"/>
        <v>2951477.1</v>
      </c>
      <c r="D1336" s="580"/>
      <c r="E1336" s="581"/>
      <c r="F1336" s="581"/>
      <c r="G1336" s="578"/>
      <c r="H1336" s="582"/>
      <c r="I1336" s="582"/>
      <c r="J1336" s="581">
        <v>1</v>
      </c>
      <c r="K1336" s="597">
        <v>2771340</v>
      </c>
      <c r="L1336" s="579"/>
      <c r="M1336" s="579"/>
      <c r="N1336" s="579"/>
      <c r="O1336" s="579"/>
      <c r="P1336" s="580"/>
      <c r="Q1336" s="608"/>
      <c r="R1336" s="608"/>
      <c r="S1336" s="608"/>
      <c r="T1336" s="608"/>
      <c r="U1336" s="608"/>
      <c r="V1336" s="609">
        <v>138567</v>
      </c>
      <c r="W1336" s="580">
        <f t="shared" ref="W1336:W1337" si="635">ROUND((D1336+F1336+G1336+H1336+I1336+K1336+L1336+M1336+O1336+P1336+Q1336+R1336+S1336)*1.5%,2)</f>
        <v>41570.1</v>
      </c>
      <c r="X1336" s="610"/>
      <c r="Y1336" s="610"/>
      <c r="Z1336" s="610"/>
      <c r="AA1336" s="610"/>
      <c r="AB1336" s="580">
        <f t="shared" si="630"/>
        <v>2951477.1</v>
      </c>
      <c r="AC1336" s="585"/>
      <c r="AD1336" s="585">
        <v>2025</v>
      </c>
      <c r="AE1336" s="585">
        <v>2026</v>
      </c>
      <c r="AF1336" s="91"/>
      <c r="AG1336" s="91"/>
    </row>
    <row r="1337" spans="1:33" s="26" customFormat="1" ht="24" customHeight="1">
      <c r="A1337" s="585">
        <f t="shared" si="628"/>
        <v>236</v>
      </c>
      <c r="B1337" s="586" t="s">
        <v>1076</v>
      </c>
      <c r="C1337" s="587">
        <f t="shared" si="631"/>
        <v>2951477.1</v>
      </c>
      <c r="D1337" s="580"/>
      <c r="E1337" s="581"/>
      <c r="F1337" s="581"/>
      <c r="G1337" s="578"/>
      <c r="H1337" s="582"/>
      <c r="I1337" s="582"/>
      <c r="J1337" s="581">
        <v>1</v>
      </c>
      <c r="K1337" s="597">
        <v>2771340</v>
      </c>
      <c r="L1337" s="579"/>
      <c r="M1337" s="579"/>
      <c r="N1337" s="579"/>
      <c r="O1337" s="579"/>
      <c r="P1337" s="580"/>
      <c r="Q1337" s="608"/>
      <c r="R1337" s="608"/>
      <c r="S1337" s="608"/>
      <c r="T1337" s="608"/>
      <c r="U1337" s="608"/>
      <c r="V1337" s="609">
        <v>138567</v>
      </c>
      <c r="W1337" s="580">
        <f t="shared" si="635"/>
        <v>41570.1</v>
      </c>
      <c r="X1337" s="610"/>
      <c r="Y1337" s="610"/>
      <c r="Z1337" s="610"/>
      <c r="AA1337" s="610"/>
      <c r="AB1337" s="584">
        <f>C1337</f>
        <v>2951477.1</v>
      </c>
      <c r="AC1337" s="585"/>
      <c r="AD1337" s="585">
        <v>2025</v>
      </c>
      <c r="AE1337" s="585">
        <v>2026</v>
      </c>
      <c r="AF1337" s="91"/>
      <c r="AG1337" s="91"/>
    </row>
    <row r="1338" spans="1:33" s="26" customFormat="1" ht="24" customHeight="1">
      <c r="A1338" s="585">
        <f t="shared" si="628"/>
        <v>237</v>
      </c>
      <c r="B1338" s="586" t="s">
        <v>307</v>
      </c>
      <c r="C1338" s="587">
        <f t="shared" si="634"/>
        <v>10685850.74</v>
      </c>
      <c r="D1338" s="580"/>
      <c r="E1338" s="581"/>
      <c r="F1338" s="581"/>
      <c r="G1338" s="578"/>
      <c r="H1338" s="582"/>
      <c r="I1338" s="582"/>
      <c r="J1338" s="581"/>
      <c r="K1338" s="580"/>
      <c r="L1338" s="578"/>
      <c r="M1338" s="579"/>
      <c r="N1338" s="579"/>
      <c r="O1338" s="579"/>
      <c r="P1338" s="583"/>
      <c r="Q1338" s="603"/>
      <c r="R1338" s="580">
        <f>ROUND(3036.2*3170.13,2)</f>
        <v>9625148.7100000009</v>
      </c>
      <c r="S1338" s="581"/>
      <c r="T1338" s="581"/>
      <c r="U1338" s="581"/>
      <c r="V1338" s="583">
        <v>916324.8</v>
      </c>
      <c r="W1338" s="584">
        <f t="shared" ref="W1338" si="636">ROUND((D1338+G1338+H1338+I1338+L1338+K1338+F1338+O1338+P1338+Q1338+R1338+S1338)*1.5%,2)</f>
        <v>144377.23000000001</v>
      </c>
      <c r="X1338" s="581"/>
      <c r="Y1338" s="581"/>
      <c r="Z1338" s="581"/>
      <c r="AA1338" s="581"/>
      <c r="AB1338" s="584">
        <f t="shared" si="630"/>
        <v>10685850.74</v>
      </c>
      <c r="AC1338" s="585"/>
      <c r="AD1338" s="585">
        <v>2025</v>
      </c>
      <c r="AE1338" s="585">
        <v>2025</v>
      </c>
      <c r="AF1338" s="91"/>
      <c r="AG1338" s="91"/>
    </row>
    <row r="1339" spans="1:33" s="26" customFormat="1" ht="24" customHeight="1">
      <c r="A1339" s="585">
        <f t="shared" si="628"/>
        <v>238</v>
      </c>
      <c r="B1339" s="611" t="s">
        <v>134</v>
      </c>
      <c r="C1339" s="587">
        <f t="shared" ref="C1339:C1368" si="637">D1339+F1339+G1339+H1339+I1339+K1339+L1339+M1339+O1339+P1339+Q1339+R1339+S1339+U1339+W1339+V1339+X1339</f>
        <v>1607905.88</v>
      </c>
      <c r="D1339" s="580"/>
      <c r="E1339" s="580"/>
      <c r="F1339" s="580"/>
      <c r="G1339" s="578"/>
      <c r="H1339" s="582"/>
      <c r="I1339" s="582"/>
      <c r="J1339" s="581"/>
      <c r="K1339" s="580"/>
      <c r="L1339" s="578"/>
      <c r="M1339" s="579"/>
      <c r="N1339" s="579"/>
      <c r="O1339" s="579"/>
      <c r="P1339" s="583"/>
      <c r="Q1339" s="580"/>
      <c r="R1339" s="581"/>
      <c r="S1339" s="582"/>
      <c r="T1339" s="612">
        <v>2</v>
      </c>
      <c r="U1339" s="582">
        <f>792071.86*T1339</f>
        <v>1584143.72</v>
      </c>
      <c r="V1339" s="583"/>
      <c r="W1339" s="584">
        <v>23762.16</v>
      </c>
      <c r="X1339" s="581"/>
      <c r="Y1339" s="584"/>
      <c r="Z1339" s="584">
        <f>C1339</f>
        <v>1607905.88</v>
      </c>
      <c r="AA1339" s="581"/>
      <c r="AB1339" s="584"/>
      <c r="AC1339" s="585"/>
      <c r="AD1339" s="585">
        <v>2025</v>
      </c>
      <c r="AE1339" s="585">
        <v>2025</v>
      </c>
      <c r="AF1339" s="91"/>
      <c r="AG1339" s="262"/>
    </row>
    <row r="1340" spans="1:33" s="26" customFormat="1" ht="24" customHeight="1">
      <c r="A1340" s="585">
        <f t="shared" si="628"/>
        <v>239</v>
      </c>
      <c r="B1340" s="611" t="s">
        <v>702</v>
      </c>
      <c r="C1340" s="587">
        <f t="shared" si="637"/>
        <v>1673215.16</v>
      </c>
      <c r="D1340" s="580"/>
      <c r="E1340" s="580"/>
      <c r="F1340" s="580"/>
      <c r="G1340" s="578"/>
      <c r="H1340" s="582"/>
      <c r="I1340" s="582"/>
      <c r="J1340" s="581"/>
      <c r="K1340" s="580"/>
      <c r="L1340" s="578"/>
      <c r="M1340" s="579"/>
      <c r="N1340" s="579"/>
      <c r="O1340" s="579"/>
      <c r="P1340" s="583"/>
      <c r="Q1340" s="580"/>
      <c r="R1340" s="581"/>
      <c r="S1340" s="582"/>
      <c r="T1340" s="612">
        <v>2</v>
      </c>
      <c r="U1340" s="582">
        <f>824243.92*T1340</f>
        <v>1648487.84</v>
      </c>
      <c r="V1340" s="583"/>
      <c r="W1340" s="584">
        <v>24727.32</v>
      </c>
      <c r="X1340" s="581"/>
      <c r="Y1340" s="584"/>
      <c r="Z1340" s="584">
        <f t="shared" ref="Z1340:Z1368" si="638">C1340</f>
        <v>1673215.16</v>
      </c>
      <c r="AA1340" s="581"/>
      <c r="AB1340" s="584"/>
      <c r="AC1340" s="585"/>
      <c r="AD1340" s="585">
        <v>2025</v>
      </c>
      <c r="AE1340" s="585">
        <v>2025</v>
      </c>
      <c r="AF1340" s="91"/>
      <c r="AG1340" s="262"/>
    </row>
    <row r="1341" spans="1:33" s="26" customFormat="1" ht="24" customHeight="1">
      <c r="A1341" s="585">
        <f t="shared" si="628"/>
        <v>240</v>
      </c>
      <c r="B1341" s="611" t="s">
        <v>135</v>
      </c>
      <c r="C1341" s="587">
        <f t="shared" si="637"/>
        <v>1592335.46</v>
      </c>
      <c r="D1341" s="580"/>
      <c r="E1341" s="580"/>
      <c r="F1341" s="580"/>
      <c r="G1341" s="578"/>
      <c r="H1341" s="582"/>
      <c r="I1341" s="582"/>
      <c r="J1341" s="581"/>
      <c r="K1341" s="580"/>
      <c r="L1341" s="578"/>
      <c r="M1341" s="579"/>
      <c r="N1341" s="579"/>
      <c r="O1341" s="579"/>
      <c r="P1341" s="583"/>
      <c r="Q1341" s="580"/>
      <c r="R1341" s="581"/>
      <c r="S1341" s="582"/>
      <c r="T1341" s="612">
        <v>2</v>
      </c>
      <c r="U1341" s="582">
        <f>784401.7*T1341</f>
        <v>1568803.4</v>
      </c>
      <c r="V1341" s="583"/>
      <c r="W1341" s="584">
        <v>23532.06</v>
      </c>
      <c r="X1341" s="581"/>
      <c r="Y1341" s="584"/>
      <c r="Z1341" s="584">
        <f t="shared" si="638"/>
        <v>1592335.46</v>
      </c>
      <c r="AA1341" s="581"/>
      <c r="AB1341" s="584"/>
      <c r="AC1341" s="585"/>
      <c r="AD1341" s="585">
        <v>2025</v>
      </c>
      <c r="AE1341" s="585">
        <v>2025</v>
      </c>
      <c r="AF1341" s="91"/>
      <c r="AG1341" s="262"/>
    </row>
    <row r="1342" spans="1:33" s="26" customFormat="1" ht="24" customHeight="1">
      <c r="A1342" s="585">
        <f t="shared" si="628"/>
        <v>241</v>
      </c>
      <c r="B1342" s="611" t="s">
        <v>703</v>
      </c>
      <c r="C1342" s="587">
        <f t="shared" si="637"/>
        <v>2734166.58</v>
      </c>
      <c r="D1342" s="580"/>
      <c r="E1342" s="580"/>
      <c r="F1342" s="580"/>
      <c r="G1342" s="578"/>
      <c r="H1342" s="582"/>
      <c r="I1342" s="582"/>
      <c r="J1342" s="581"/>
      <c r="K1342" s="580"/>
      <c r="L1342" s="578"/>
      <c r="M1342" s="579"/>
      <c r="N1342" s="579"/>
      <c r="O1342" s="579"/>
      <c r="P1342" s="583"/>
      <c r="Q1342" s="580"/>
      <c r="R1342" s="581"/>
      <c r="S1342" s="582"/>
      <c r="T1342" s="612">
        <v>3</v>
      </c>
      <c r="U1342" s="582">
        <f>897920.06*T1342</f>
        <v>2693760.18</v>
      </c>
      <c r="V1342" s="583"/>
      <c r="W1342" s="584">
        <v>40406.400000000001</v>
      </c>
      <c r="X1342" s="581"/>
      <c r="Y1342" s="584"/>
      <c r="Z1342" s="584">
        <f t="shared" si="638"/>
        <v>2734166.58</v>
      </c>
      <c r="AA1342" s="581"/>
      <c r="AB1342" s="584"/>
      <c r="AC1342" s="585"/>
      <c r="AD1342" s="585">
        <v>2025</v>
      </c>
      <c r="AE1342" s="585">
        <v>2025</v>
      </c>
      <c r="AF1342" s="91"/>
      <c r="AG1342" s="262"/>
    </row>
    <row r="1343" spans="1:33" s="26" customFormat="1" ht="24" customHeight="1">
      <c r="A1343" s="585">
        <f t="shared" si="628"/>
        <v>242</v>
      </c>
      <c r="B1343" s="611" t="s">
        <v>704</v>
      </c>
      <c r="C1343" s="587">
        <f t="shared" si="637"/>
        <v>1833244.52</v>
      </c>
      <c r="D1343" s="580"/>
      <c r="E1343" s="580"/>
      <c r="F1343" s="580"/>
      <c r="G1343" s="578"/>
      <c r="H1343" s="582"/>
      <c r="I1343" s="582"/>
      <c r="J1343" s="581"/>
      <c r="K1343" s="580"/>
      <c r="L1343" s="578"/>
      <c r="M1343" s="579"/>
      <c r="N1343" s="579"/>
      <c r="O1343" s="579"/>
      <c r="P1343" s="583"/>
      <c r="Q1343" s="580"/>
      <c r="R1343" s="581"/>
      <c r="S1343" s="582"/>
      <c r="T1343" s="612">
        <v>2</v>
      </c>
      <c r="U1343" s="582">
        <f>903076.12*T1343</f>
        <v>1806152.24</v>
      </c>
      <c r="V1343" s="583"/>
      <c r="W1343" s="584">
        <v>27092.28</v>
      </c>
      <c r="X1343" s="581"/>
      <c r="Y1343" s="584"/>
      <c r="Z1343" s="584">
        <f t="shared" si="638"/>
        <v>1833244.52</v>
      </c>
      <c r="AA1343" s="581"/>
      <c r="AB1343" s="584"/>
      <c r="AC1343" s="585"/>
      <c r="AD1343" s="585">
        <v>2025</v>
      </c>
      <c r="AE1343" s="585">
        <v>2025</v>
      </c>
      <c r="AF1343" s="91"/>
      <c r="AG1343" s="262"/>
    </row>
    <row r="1344" spans="1:33" s="26" customFormat="1" ht="24" customHeight="1">
      <c r="A1344" s="585">
        <f t="shared" si="628"/>
        <v>243</v>
      </c>
      <c r="B1344" s="611" t="s">
        <v>705</v>
      </c>
      <c r="C1344" s="587">
        <f t="shared" si="637"/>
        <v>4627352.5</v>
      </c>
      <c r="D1344" s="580"/>
      <c r="E1344" s="580"/>
      <c r="F1344" s="580"/>
      <c r="G1344" s="578"/>
      <c r="H1344" s="582"/>
      <c r="I1344" s="582"/>
      <c r="J1344" s="581"/>
      <c r="K1344" s="580"/>
      <c r="L1344" s="578"/>
      <c r="M1344" s="579"/>
      <c r="N1344" s="579"/>
      <c r="O1344" s="579"/>
      <c r="P1344" s="583"/>
      <c r="Q1344" s="580"/>
      <c r="R1344" s="581"/>
      <c r="S1344" s="582"/>
      <c r="T1344" s="612">
        <v>5</v>
      </c>
      <c r="U1344" s="582">
        <f>911793.6*T1344</f>
        <v>4558968</v>
      </c>
      <c r="V1344" s="583"/>
      <c r="W1344" s="584">
        <v>68384.5</v>
      </c>
      <c r="X1344" s="581"/>
      <c r="Y1344" s="584"/>
      <c r="Z1344" s="584">
        <f t="shared" si="638"/>
        <v>4627352.5</v>
      </c>
      <c r="AA1344" s="581"/>
      <c r="AB1344" s="584"/>
      <c r="AC1344" s="585"/>
      <c r="AD1344" s="585">
        <v>2025</v>
      </c>
      <c r="AE1344" s="585">
        <v>2025</v>
      </c>
      <c r="AF1344" s="91"/>
      <c r="AG1344" s="262"/>
    </row>
    <row r="1345" spans="1:33" s="26" customFormat="1" ht="24" customHeight="1">
      <c r="A1345" s="585">
        <f t="shared" si="628"/>
        <v>244</v>
      </c>
      <c r="B1345" s="611" t="s">
        <v>130</v>
      </c>
      <c r="C1345" s="587">
        <f t="shared" si="637"/>
        <v>16594004.109999999</v>
      </c>
      <c r="D1345" s="580">
        <v>2717736.88</v>
      </c>
      <c r="E1345" s="580"/>
      <c r="F1345" s="580"/>
      <c r="G1345" s="578">
        <v>3638363.92</v>
      </c>
      <c r="H1345" s="582">
        <v>3329071.15</v>
      </c>
      <c r="I1345" s="582"/>
      <c r="J1345" s="581"/>
      <c r="K1345" s="580"/>
      <c r="L1345" s="578">
        <v>5896052.5599999996</v>
      </c>
      <c r="M1345" s="579"/>
      <c r="N1345" s="579"/>
      <c r="O1345" s="579"/>
      <c r="P1345" s="583"/>
      <c r="Q1345" s="580"/>
      <c r="R1345" s="581"/>
      <c r="S1345" s="582"/>
      <c r="T1345" s="612"/>
      <c r="U1345" s="582"/>
      <c r="V1345" s="583">
        <v>779061.23</v>
      </c>
      <c r="W1345" s="584">
        <v>233718.37</v>
      </c>
      <c r="X1345" s="581"/>
      <c r="Y1345" s="584"/>
      <c r="Z1345" s="584"/>
      <c r="AA1345" s="581"/>
      <c r="AB1345" s="584">
        <f t="shared" ref="AB1345" si="639">C1345</f>
        <v>16594004.109999999</v>
      </c>
      <c r="AC1345" s="585"/>
      <c r="AD1345" s="585">
        <v>2025</v>
      </c>
      <c r="AE1345" s="585">
        <v>2025</v>
      </c>
      <c r="AF1345" s="91"/>
      <c r="AG1345" s="262">
        <v>2025</v>
      </c>
    </row>
    <row r="1346" spans="1:33" s="26" customFormat="1" ht="24" customHeight="1">
      <c r="A1346" s="585">
        <f t="shared" si="628"/>
        <v>245</v>
      </c>
      <c r="B1346" s="611" t="s">
        <v>712</v>
      </c>
      <c r="C1346" s="587">
        <f t="shared" si="637"/>
        <v>1640776.78</v>
      </c>
      <c r="D1346" s="613"/>
      <c r="E1346" s="613"/>
      <c r="F1346" s="614"/>
      <c r="G1346" s="578"/>
      <c r="H1346" s="615"/>
      <c r="I1346" s="615"/>
      <c r="J1346" s="616"/>
      <c r="K1346" s="613"/>
      <c r="L1346" s="617"/>
      <c r="M1346" s="618"/>
      <c r="N1346" s="618"/>
      <c r="O1346" s="618"/>
      <c r="P1346" s="619"/>
      <c r="Q1346" s="613"/>
      <c r="R1346" s="614"/>
      <c r="S1346" s="615"/>
      <c r="T1346" s="620">
        <v>2</v>
      </c>
      <c r="U1346" s="584">
        <f>808264.42*T1346</f>
        <v>1616528.84</v>
      </c>
      <c r="V1346" s="619"/>
      <c r="W1346" s="616">
        <v>24247.94</v>
      </c>
      <c r="X1346" s="581"/>
      <c r="Y1346" s="584"/>
      <c r="Z1346" s="584">
        <f t="shared" si="638"/>
        <v>1640776.78</v>
      </c>
      <c r="AA1346" s="581"/>
      <c r="AB1346" s="584"/>
      <c r="AC1346" s="585"/>
      <c r="AD1346" s="585">
        <v>2025</v>
      </c>
      <c r="AE1346" s="585">
        <v>2025</v>
      </c>
      <c r="AF1346" s="91"/>
      <c r="AG1346" s="262"/>
    </row>
    <row r="1347" spans="1:33" s="26" customFormat="1" ht="24" customHeight="1">
      <c r="A1347" s="585">
        <f t="shared" si="628"/>
        <v>246</v>
      </c>
      <c r="B1347" s="611" t="s">
        <v>713</v>
      </c>
      <c r="C1347" s="587">
        <f t="shared" si="637"/>
        <v>2676945.27</v>
      </c>
      <c r="D1347" s="613"/>
      <c r="E1347" s="613"/>
      <c r="F1347" s="614"/>
      <c r="G1347" s="578"/>
      <c r="H1347" s="615"/>
      <c r="I1347" s="615"/>
      <c r="J1347" s="616"/>
      <c r="K1347" s="613"/>
      <c r="L1347" s="617"/>
      <c r="M1347" s="618"/>
      <c r="N1347" s="618"/>
      <c r="O1347" s="618"/>
      <c r="P1347" s="619"/>
      <c r="Q1347" s="613"/>
      <c r="R1347" s="614"/>
      <c r="S1347" s="615"/>
      <c r="T1347" s="620">
        <v>3</v>
      </c>
      <c r="U1347" s="584">
        <f>879128.17*T1347</f>
        <v>2637384.5099999998</v>
      </c>
      <c r="V1347" s="619"/>
      <c r="W1347" s="616">
        <v>39560.76</v>
      </c>
      <c r="X1347" s="581"/>
      <c r="Y1347" s="584"/>
      <c r="Z1347" s="584">
        <f t="shared" si="638"/>
        <v>2676945.27</v>
      </c>
      <c r="AA1347" s="581"/>
      <c r="AB1347" s="584"/>
      <c r="AC1347" s="585"/>
      <c r="AD1347" s="585">
        <v>2025</v>
      </c>
      <c r="AE1347" s="585">
        <v>2025</v>
      </c>
      <c r="AF1347" s="91"/>
      <c r="AG1347" s="262"/>
    </row>
    <row r="1348" spans="1:33" s="26" customFormat="1" ht="24" customHeight="1">
      <c r="A1348" s="585">
        <f t="shared" si="628"/>
        <v>247</v>
      </c>
      <c r="B1348" s="611" t="s">
        <v>714</v>
      </c>
      <c r="C1348" s="587">
        <f t="shared" si="637"/>
        <v>1682470.9</v>
      </c>
      <c r="D1348" s="613"/>
      <c r="E1348" s="613"/>
      <c r="F1348" s="614"/>
      <c r="G1348" s="578"/>
      <c r="H1348" s="615"/>
      <c r="I1348" s="615"/>
      <c r="J1348" s="616"/>
      <c r="K1348" s="613"/>
      <c r="L1348" s="617"/>
      <c r="M1348" s="618"/>
      <c r="N1348" s="618"/>
      <c r="O1348" s="618"/>
      <c r="P1348" s="619"/>
      <c r="Q1348" s="613"/>
      <c r="R1348" s="614"/>
      <c r="S1348" s="615"/>
      <c r="T1348" s="620">
        <v>2</v>
      </c>
      <c r="U1348" s="584">
        <f>828803.4*T1348</f>
        <v>1657606.8</v>
      </c>
      <c r="V1348" s="619"/>
      <c r="W1348" s="616">
        <v>24864.1</v>
      </c>
      <c r="X1348" s="581"/>
      <c r="Y1348" s="584"/>
      <c r="Z1348" s="584">
        <f t="shared" si="638"/>
        <v>1682470.9</v>
      </c>
      <c r="AA1348" s="581"/>
      <c r="AB1348" s="584"/>
      <c r="AC1348" s="585"/>
      <c r="AD1348" s="585">
        <v>2025</v>
      </c>
      <c r="AE1348" s="585">
        <v>2025</v>
      </c>
      <c r="AF1348" s="91"/>
      <c r="AG1348" s="262"/>
    </row>
    <row r="1349" spans="1:33" s="26" customFormat="1" ht="24" customHeight="1">
      <c r="A1349" s="585">
        <f t="shared" si="628"/>
        <v>248</v>
      </c>
      <c r="B1349" s="611" t="s">
        <v>715</v>
      </c>
      <c r="C1349" s="587">
        <f t="shared" si="637"/>
        <v>1791896.4</v>
      </c>
      <c r="D1349" s="613"/>
      <c r="E1349" s="613"/>
      <c r="F1349" s="614"/>
      <c r="G1349" s="578"/>
      <c r="H1349" s="615"/>
      <c r="I1349" s="615"/>
      <c r="J1349" s="616"/>
      <c r="K1349" s="613"/>
      <c r="L1349" s="617"/>
      <c r="M1349" s="618"/>
      <c r="N1349" s="618"/>
      <c r="O1349" s="618"/>
      <c r="P1349" s="619"/>
      <c r="Q1349" s="613"/>
      <c r="R1349" s="614"/>
      <c r="S1349" s="615"/>
      <c r="T1349" s="620">
        <v>3</v>
      </c>
      <c r="U1349" s="584">
        <f>588471.72*T1349</f>
        <v>1765415.16</v>
      </c>
      <c r="V1349" s="619"/>
      <c r="W1349" s="616">
        <v>26481.24</v>
      </c>
      <c r="X1349" s="581"/>
      <c r="Y1349" s="584"/>
      <c r="Z1349" s="584">
        <f t="shared" si="638"/>
        <v>1791896.4</v>
      </c>
      <c r="AA1349" s="581"/>
      <c r="AB1349" s="584"/>
      <c r="AC1349" s="585"/>
      <c r="AD1349" s="585">
        <v>2025</v>
      </c>
      <c r="AE1349" s="585">
        <v>2025</v>
      </c>
      <c r="AF1349" s="91"/>
      <c r="AG1349" s="262"/>
    </row>
    <row r="1350" spans="1:33" s="26" customFormat="1" ht="24" customHeight="1">
      <c r="A1350" s="585">
        <f t="shared" si="628"/>
        <v>249</v>
      </c>
      <c r="B1350" s="611" t="s">
        <v>716</v>
      </c>
      <c r="C1350" s="587">
        <f t="shared" si="637"/>
        <v>1802709.18</v>
      </c>
      <c r="D1350" s="613"/>
      <c r="E1350" s="613"/>
      <c r="F1350" s="614"/>
      <c r="G1350" s="578"/>
      <c r="H1350" s="615"/>
      <c r="I1350" s="615"/>
      <c r="J1350" s="616"/>
      <c r="K1350" s="613"/>
      <c r="L1350" s="617"/>
      <c r="M1350" s="618"/>
      <c r="N1350" s="618"/>
      <c r="O1350" s="618"/>
      <c r="P1350" s="619"/>
      <c r="Q1350" s="613"/>
      <c r="R1350" s="614"/>
      <c r="S1350" s="615"/>
      <c r="T1350" s="620">
        <v>2</v>
      </c>
      <c r="U1350" s="584">
        <f>888034.08*T1350</f>
        <v>1776068.16</v>
      </c>
      <c r="V1350" s="619"/>
      <c r="W1350" s="616">
        <v>26641.02</v>
      </c>
      <c r="X1350" s="581"/>
      <c r="Y1350" s="584"/>
      <c r="Z1350" s="584">
        <f t="shared" si="638"/>
        <v>1802709.18</v>
      </c>
      <c r="AA1350" s="581"/>
      <c r="AB1350" s="584"/>
      <c r="AC1350" s="585"/>
      <c r="AD1350" s="585">
        <v>2025</v>
      </c>
      <c r="AE1350" s="585">
        <v>2025</v>
      </c>
      <c r="AF1350" s="91"/>
      <c r="AG1350" s="262"/>
    </row>
    <row r="1351" spans="1:33" s="26" customFormat="1" ht="24" customHeight="1">
      <c r="A1351" s="585">
        <f t="shared" si="628"/>
        <v>250</v>
      </c>
      <c r="B1351" s="611" t="s">
        <v>717</v>
      </c>
      <c r="C1351" s="587">
        <f t="shared" si="637"/>
        <v>1679529.82</v>
      </c>
      <c r="D1351" s="613"/>
      <c r="E1351" s="613"/>
      <c r="F1351" s="614"/>
      <c r="G1351" s="578"/>
      <c r="H1351" s="615"/>
      <c r="I1351" s="615"/>
      <c r="J1351" s="616"/>
      <c r="K1351" s="613"/>
      <c r="L1351" s="617"/>
      <c r="M1351" s="618"/>
      <c r="N1351" s="618"/>
      <c r="O1351" s="618"/>
      <c r="P1351" s="619"/>
      <c r="Q1351" s="613"/>
      <c r="R1351" s="614"/>
      <c r="S1351" s="615"/>
      <c r="T1351" s="620">
        <v>2</v>
      </c>
      <c r="U1351" s="584">
        <f>827354.59*T1351</f>
        <v>1654709.18</v>
      </c>
      <c r="V1351" s="619"/>
      <c r="W1351" s="616">
        <v>24820.639999999999</v>
      </c>
      <c r="X1351" s="581"/>
      <c r="Y1351" s="584"/>
      <c r="Z1351" s="584">
        <f t="shared" si="638"/>
        <v>1679529.82</v>
      </c>
      <c r="AA1351" s="581"/>
      <c r="AB1351" s="584"/>
      <c r="AC1351" s="585"/>
      <c r="AD1351" s="585">
        <v>2025</v>
      </c>
      <c r="AE1351" s="585">
        <v>2025</v>
      </c>
      <c r="AF1351" s="91"/>
      <c r="AG1351" s="262"/>
    </row>
    <row r="1352" spans="1:33" s="26" customFormat="1" ht="24" customHeight="1">
      <c r="A1352" s="585">
        <f t="shared" si="628"/>
        <v>251</v>
      </c>
      <c r="B1352" s="611" t="s">
        <v>718</v>
      </c>
      <c r="C1352" s="587">
        <f t="shared" si="637"/>
        <v>1695878.76</v>
      </c>
      <c r="D1352" s="613"/>
      <c r="E1352" s="613"/>
      <c r="F1352" s="614"/>
      <c r="G1352" s="578"/>
      <c r="H1352" s="615"/>
      <c r="I1352" s="615"/>
      <c r="J1352" s="616"/>
      <c r="K1352" s="613"/>
      <c r="L1352" s="617"/>
      <c r="M1352" s="618"/>
      <c r="N1352" s="618"/>
      <c r="O1352" s="618"/>
      <c r="P1352" s="619"/>
      <c r="Q1352" s="613"/>
      <c r="R1352" s="614"/>
      <c r="S1352" s="615"/>
      <c r="T1352" s="620">
        <v>2</v>
      </c>
      <c r="U1352" s="584">
        <f>835408.26*T1352</f>
        <v>1670816.52</v>
      </c>
      <c r="V1352" s="619"/>
      <c r="W1352" s="616">
        <v>25062.240000000002</v>
      </c>
      <c r="X1352" s="581"/>
      <c r="Y1352" s="584"/>
      <c r="Z1352" s="584">
        <f t="shared" si="638"/>
        <v>1695878.76</v>
      </c>
      <c r="AA1352" s="581"/>
      <c r="AB1352" s="584"/>
      <c r="AC1352" s="585"/>
      <c r="AD1352" s="585">
        <v>2025</v>
      </c>
      <c r="AE1352" s="585">
        <v>2025</v>
      </c>
      <c r="AF1352" s="91"/>
      <c r="AG1352" s="262"/>
    </row>
    <row r="1353" spans="1:33" s="26" customFormat="1" ht="24" customHeight="1">
      <c r="A1353" s="585">
        <f t="shared" si="628"/>
        <v>252</v>
      </c>
      <c r="B1353" s="611" t="s">
        <v>719</v>
      </c>
      <c r="C1353" s="587">
        <f t="shared" si="637"/>
        <v>3701882</v>
      </c>
      <c r="D1353" s="613"/>
      <c r="E1353" s="613"/>
      <c r="F1353" s="614"/>
      <c r="G1353" s="578"/>
      <c r="H1353" s="615"/>
      <c r="I1353" s="615"/>
      <c r="J1353" s="616"/>
      <c r="K1353" s="613"/>
      <c r="L1353" s="617"/>
      <c r="M1353" s="618"/>
      <c r="N1353" s="618"/>
      <c r="O1353" s="618"/>
      <c r="P1353" s="619"/>
      <c r="Q1353" s="613"/>
      <c r="R1353" s="614"/>
      <c r="S1353" s="615"/>
      <c r="T1353" s="620">
        <v>4</v>
      </c>
      <c r="U1353" s="584">
        <f t="shared" ref="U1353:U1363" si="640">911793.6*T1353</f>
        <v>3647174.4</v>
      </c>
      <c r="V1353" s="619"/>
      <c r="W1353" s="616">
        <v>54707.6</v>
      </c>
      <c r="X1353" s="581"/>
      <c r="Y1353" s="584"/>
      <c r="Z1353" s="584">
        <f t="shared" si="638"/>
        <v>3701882</v>
      </c>
      <c r="AA1353" s="581"/>
      <c r="AB1353" s="584"/>
      <c r="AC1353" s="585"/>
      <c r="AD1353" s="585">
        <v>2025</v>
      </c>
      <c r="AE1353" s="585">
        <v>2025</v>
      </c>
      <c r="AF1353" s="91"/>
      <c r="AG1353" s="262"/>
    </row>
    <row r="1354" spans="1:33" s="26" customFormat="1" ht="24" customHeight="1">
      <c r="A1354" s="585">
        <f t="shared" si="628"/>
        <v>253</v>
      </c>
      <c r="B1354" s="611" t="s">
        <v>720</v>
      </c>
      <c r="C1354" s="587">
        <f t="shared" si="637"/>
        <v>3701882</v>
      </c>
      <c r="D1354" s="613"/>
      <c r="E1354" s="613"/>
      <c r="F1354" s="614"/>
      <c r="G1354" s="578"/>
      <c r="H1354" s="615"/>
      <c r="I1354" s="615"/>
      <c r="J1354" s="616"/>
      <c r="K1354" s="613"/>
      <c r="L1354" s="617"/>
      <c r="M1354" s="618"/>
      <c r="N1354" s="618"/>
      <c r="O1354" s="618"/>
      <c r="P1354" s="619"/>
      <c r="Q1354" s="613"/>
      <c r="R1354" s="614"/>
      <c r="S1354" s="615"/>
      <c r="T1354" s="620">
        <v>4</v>
      </c>
      <c r="U1354" s="584">
        <f t="shared" si="640"/>
        <v>3647174.4</v>
      </c>
      <c r="V1354" s="619"/>
      <c r="W1354" s="616">
        <v>54707.6</v>
      </c>
      <c r="X1354" s="581"/>
      <c r="Y1354" s="584"/>
      <c r="Z1354" s="584">
        <f t="shared" si="638"/>
        <v>3701882</v>
      </c>
      <c r="AA1354" s="581"/>
      <c r="AB1354" s="584"/>
      <c r="AC1354" s="585"/>
      <c r="AD1354" s="585">
        <v>2025</v>
      </c>
      <c r="AE1354" s="585">
        <v>2025</v>
      </c>
      <c r="AF1354" s="91"/>
      <c r="AG1354" s="262"/>
    </row>
    <row r="1355" spans="1:33" s="26" customFormat="1" ht="24" customHeight="1">
      <c r="A1355" s="585">
        <f t="shared" si="628"/>
        <v>254</v>
      </c>
      <c r="B1355" s="611" t="s">
        <v>721</v>
      </c>
      <c r="C1355" s="587">
        <f t="shared" si="637"/>
        <v>4627352.5</v>
      </c>
      <c r="D1355" s="613"/>
      <c r="E1355" s="613"/>
      <c r="F1355" s="614"/>
      <c r="G1355" s="578"/>
      <c r="H1355" s="615"/>
      <c r="I1355" s="615"/>
      <c r="J1355" s="616"/>
      <c r="K1355" s="613"/>
      <c r="L1355" s="617"/>
      <c r="M1355" s="618"/>
      <c r="N1355" s="618"/>
      <c r="O1355" s="618"/>
      <c r="P1355" s="619"/>
      <c r="Q1355" s="613"/>
      <c r="R1355" s="614"/>
      <c r="S1355" s="615"/>
      <c r="T1355" s="620">
        <v>5</v>
      </c>
      <c r="U1355" s="584">
        <f t="shared" si="640"/>
        <v>4558968</v>
      </c>
      <c r="V1355" s="619"/>
      <c r="W1355" s="616">
        <v>68384.5</v>
      </c>
      <c r="X1355" s="581"/>
      <c r="Y1355" s="584"/>
      <c r="Z1355" s="584">
        <f t="shared" si="638"/>
        <v>4627352.5</v>
      </c>
      <c r="AA1355" s="581"/>
      <c r="AB1355" s="584"/>
      <c r="AC1355" s="585"/>
      <c r="AD1355" s="585">
        <v>2025</v>
      </c>
      <c r="AE1355" s="585">
        <v>2025</v>
      </c>
      <c r="AF1355" s="91"/>
      <c r="AG1355" s="262"/>
    </row>
    <row r="1356" spans="1:33" s="26" customFormat="1" ht="24" customHeight="1">
      <c r="A1356" s="585">
        <f t="shared" si="628"/>
        <v>255</v>
      </c>
      <c r="B1356" s="611" t="s">
        <v>722</v>
      </c>
      <c r="C1356" s="587">
        <f t="shared" si="637"/>
        <v>4627352.5</v>
      </c>
      <c r="D1356" s="613"/>
      <c r="E1356" s="613"/>
      <c r="F1356" s="614"/>
      <c r="G1356" s="578"/>
      <c r="H1356" s="615"/>
      <c r="I1356" s="615"/>
      <c r="J1356" s="616"/>
      <c r="K1356" s="613"/>
      <c r="L1356" s="617"/>
      <c r="M1356" s="618"/>
      <c r="N1356" s="618"/>
      <c r="O1356" s="618"/>
      <c r="P1356" s="619"/>
      <c r="Q1356" s="613"/>
      <c r="R1356" s="614"/>
      <c r="S1356" s="615"/>
      <c r="T1356" s="620">
        <v>5</v>
      </c>
      <c r="U1356" s="584">
        <f t="shared" si="640"/>
        <v>4558968</v>
      </c>
      <c r="V1356" s="619"/>
      <c r="W1356" s="616">
        <v>68384.5</v>
      </c>
      <c r="X1356" s="581"/>
      <c r="Y1356" s="584"/>
      <c r="Z1356" s="584">
        <f t="shared" si="638"/>
        <v>4627352.5</v>
      </c>
      <c r="AA1356" s="581"/>
      <c r="AB1356" s="584"/>
      <c r="AC1356" s="585"/>
      <c r="AD1356" s="585">
        <v>2025</v>
      </c>
      <c r="AE1356" s="585">
        <v>2025</v>
      </c>
      <c r="AF1356" s="91"/>
      <c r="AG1356" s="262"/>
    </row>
    <row r="1357" spans="1:33" s="26" customFormat="1" ht="24" customHeight="1">
      <c r="A1357" s="585">
        <f t="shared" si="628"/>
        <v>256</v>
      </c>
      <c r="B1357" s="611" t="s">
        <v>723</v>
      </c>
      <c r="C1357" s="587">
        <f t="shared" si="637"/>
        <v>4627352.5</v>
      </c>
      <c r="D1357" s="613"/>
      <c r="E1357" s="613"/>
      <c r="F1357" s="614"/>
      <c r="G1357" s="578"/>
      <c r="H1357" s="615"/>
      <c r="I1357" s="615"/>
      <c r="J1357" s="616"/>
      <c r="K1357" s="613"/>
      <c r="L1357" s="617"/>
      <c r="M1357" s="618"/>
      <c r="N1357" s="618"/>
      <c r="O1357" s="618"/>
      <c r="P1357" s="619"/>
      <c r="Q1357" s="613"/>
      <c r="R1357" s="614"/>
      <c r="S1357" s="615"/>
      <c r="T1357" s="620">
        <v>5</v>
      </c>
      <c r="U1357" s="584">
        <f t="shared" si="640"/>
        <v>4558968</v>
      </c>
      <c r="V1357" s="619"/>
      <c r="W1357" s="616">
        <v>68384.5</v>
      </c>
      <c r="X1357" s="581"/>
      <c r="Y1357" s="584"/>
      <c r="Z1357" s="584">
        <f t="shared" si="638"/>
        <v>4627352.5</v>
      </c>
      <c r="AA1357" s="581"/>
      <c r="AB1357" s="584"/>
      <c r="AC1357" s="585"/>
      <c r="AD1357" s="585">
        <v>2025</v>
      </c>
      <c r="AE1357" s="585">
        <v>2025</v>
      </c>
      <c r="AF1357" s="91"/>
      <c r="AG1357" s="262"/>
    </row>
    <row r="1358" spans="1:33" s="26" customFormat="1" ht="24" customHeight="1">
      <c r="A1358" s="585">
        <f t="shared" si="628"/>
        <v>257</v>
      </c>
      <c r="B1358" s="611" t="s">
        <v>724</v>
      </c>
      <c r="C1358" s="587">
        <f t="shared" si="637"/>
        <v>4627352.5</v>
      </c>
      <c r="D1358" s="613"/>
      <c r="E1358" s="613"/>
      <c r="F1358" s="614"/>
      <c r="G1358" s="578"/>
      <c r="H1358" s="615"/>
      <c r="I1358" s="615"/>
      <c r="J1358" s="616"/>
      <c r="K1358" s="613"/>
      <c r="L1358" s="617"/>
      <c r="M1358" s="618"/>
      <c r="N1358" s="618"/>
      <c r="O1358" s="618"/>
      <c r="P1358" s="619"/>
      <c r="Q1358" s="613"/>
      <c r="R1358" s="614"/>
      <c r="S1358" s="615"/>
      <c r="T1358" s="620">
        <v>5</v>
      </c>
      <c r="U1358" s="584">
        <f t="shared" si="640"/>
        <v>4558968</v>
      </c>
      <c r="V1358" s="619"/>
      <c r="W1358" s="616">
        <v>68384.5</v>
      </c>
      <c r="X1358" s="581"/>
      <c r="Y1358" s="584"/>
      <c r="Z1358" s="584">
        <f t="shared" si="638"/>
        <v>4627352.5</v>
      </c>
      <c r="AA1358" s="581"/>
      <c r="AB1358" s="584"/>
      <c r="AC1358" s="585"/>
      <c r="AD1358" s="585">
        <v>2025</v>
      </c>
      <c r="AE1358" s="585">
        <v>2025</v>
      </c>
      <c r="AF1358" s="91"/>
      <c r="AG1358" s="262"/>
    </row>
    <row r="1359" spans="1:33" s="26" customFormat="1" ht="21.75" customHeight="1">
      <c r="A1359" s="585">
        <f t="shared" si="628"/>
        <v>258</v>
      </c>
      <c r="B1359" s="611" t="s">
        <v>725</v>
      </c>
      <c r="C1359" s="587">
        <f t="shared" si="637"/>
        <v>2776411.5</v>
      </c>
      <c r="D1359" s="613"/>
      <c r="E1359" s="613"/>
      <c r="F1359" s="614"/>
      <c r="G1359" s="578"/>
      <c r="H1359" s="615"/>
      <c r="I1359" s="615"/>
      <c r="J1359" s="616"/>
      <c r="K1359" s="613"/>
      <c r="L1359" s="617"/>
      <c r="M1359" s="618"/>
      <c r="N1359" s="618"/>
      <c r="O1359" s="618"/>
      <c r="P1359" s="619"/>
      <c r="Q1359" s="613"/>
      <c r="R1359" s="614"/>
      <c r="S1359" s="615"/>
      <c r="T1359" s="620">
        <v>3</v>
      </c>
      <c r="U1359" s="584">
        <f t="shared" si="640"/>
        <v>2735380.8</v>
      </c>
      <c r="V1359" s="619"/>
      <c r="W1359" s="616">
        <v>41030.699999999997</v>
      </c>
      <c r="X1359" s="581"/>
      <c r="Y1359" s="584"/>
      <c r="Z1359" s="584">
        <f t="shared" si="638"/>
        <v>2776411.5</v>
      </c>
      <c r="AA1359" s="581"/>
      <c r="AB1359" s="584"/>
      <c r="AC1359" s="585"/>
      <c r="AD1359" s="585">
        <v>2025</v>
      </c>
      <c r="AE1359" s="585">
        <v>2025</v>
      </c>
      <c r="AF1359" s="91"/>
      <c r="AG1359" s="262"/>
    </row>
    <row r="1360" spans="1:33" s="26" customFormat="1" ht="24" customHeight="1">
      <c r="A1360" s="585">
        <f t="shared" si="628"/>
        <v>259</v>
      </c>
      <c r="B1360" s="611" t="s">
        <v>726</v>
      </c>
      <c r="C1360" s="587">
        <f t="shared" si="637"/>
        <v>4627352.5</v>
      </c>
      <c r="D1360" s="613"/>
      <c r="E1360" s="613"/>
      <c r="F1360" s="614"/>
      <c r="G1360" s="578"/>
      <c r="H1360" s="615"/>
      <c r="I1360" s="615"/>
      <c r="J1360" s="616"/>
      <c r="K1360" s="613"/>
      <c r="L1360" s="617"/>
      <c r="M1360" s="618"/>
      <c r="N1360" s="618"/>
      <c r="O1360" s="618"/>
      <c r="P1360" s="619"/>
      <c r="Q1360" s="613"/>
      <c r="R1360" s="614"/>
      <c r="S1360" s="615"/>
      <c r="T1360" s="620">
        <v>5</v>
      </c>
      <c r="U1360" s="584">
        <f t="shared" si="640"/>
        <v>4558968</v>
      </c>
      <c r="V1360" s="619"/>
      <c r="W1360" s="616">
        <v>68384.5</v>
      </c>
      <c r="X1360" s="581"/>
      <c r="Y1360" s="584"/>
      <c r="Z1360" s="584">
        <f t="shared" si="638"/>
        <v>4627352.5</v>
      </c>
      <c r="AA1360" s="581"/>
      <c r="AB1360" s="584"/>
      <c r="AC1360" s="585"/>
      <c r="AD1360" s="585">
        <v>2025</v>
      </c>
      <c r="AE1360" s="585">
        <v>2025</v>
      </c>
      <c r="AF1360" s="91"/>
      <c r="AG1360" s="262"/>
    </row>
    <row r="1361" spans="1:34" s="26" customFormat="1" ht="24" customHeight="1">
      <c r="A1361" s="585">
        <f t="shared" si="628"/>
        <v>260</v>
      </c>
      <c r="B1361" s="611" t="s">
        <v>727</v>
      </c>
      <c r="C1361" s="587">
        <f t="shared" si="637"/>
        <v>3701882</v>
      </c>
      <c r="D1361" s="613"/>
      <c r="E1361" s="613"/>
      <c r="F1361" s="614"/>
      <c r="G1361" s="578"/>
      <c r="H1361" s="615"/>
      <c r="I1361" s="615"/>
      <c r="J1361" s="616"/>
      <c r="K1361" s="613"/>
      <c r="L1361" s="617"/>
      <c r="M1361" s="618"/>
      <c r="N1361" s="618"/>
      <c r="O1361" s="618"/>
      <c r="P1361" s="619"/>
      <c r="Q1361" s="613"/>
      <c r="R1361" s="614"/>
      <c r="S1361" s="615"/>
      <c r="T1361" s="620">
        <v>4</v>
      </c>
      <c r="U1361" s="584">
        <f t="shared" si="640"/>
        <v>3647174.4</v>
      </c>
      <c r="V1361" s="619"/>
      <c r="W1361" s="616">
        <v>54707.6</v>
      </c>
      <c r="X1361" s="581"/>
      <c r="Y1361" s="584"/>
      <c r="Z1361" s="584">
        <f t="shared" si="638"/>
        <v>3701882</v>
      </c>
      <c r="AA1361" s="581"/>
      <c r="AB1361" s="584"/>
      <c r="AC1361" s="585"/>
      <c r="AD1361" s="585">
        <v>2025</v>
      </c>
      <c r="AE1361" s="585">
        <v>2025</v>
      </c>
      <c r="AF1361" s="91"/>
      <c r="AG1361" s="262"/>
    </row>
    <row r="1362" spans="1:34" s="26" customFormat="1" ht="24" customHeight="1">
      <c r="A1362" s="585">
        <f t="shared" si="628"/>
        <v>261</v>
      </c>
      <c r="B1362" s="611" t="s">
        <v>728</v>
      </c>
      <c r="C1362" s="587">
        <f t="shared" si="637"/>
        <v>4627352.5</v>
      </c>
      <c r="D1362" s="613"/>
      <c r="E1362" s="613"/>
      <c r="F1362" s="614"/>
      <c r="G1362" s="578"/>
      <c r="H1362" s="615"/>
      <c r="I1362" s="615"/>
      <c r="J1362" s="616"/>
      <c r="K1362" s="613"/>
      <c r="L1362" s="617"/>
      <c r="M1362" s="618"/>
      <c r="N1362" s="618"/>
      <c r="O1362" s="618"/>
      <c r="P1362" s="619"/>
      <c r="Q1362" s="613"/>
      <c r="R1362" s="614"/>
      <c r="S1362" s="615"/>
      <c r="T1362" s="620">
        <v>5</v>
      </c>
      <c r="U1362" s="584">
        <f t="shared" si="640"/>
        <v>4558968</v>
      </c>
      <c r="V1362" s="619"/>
      <c r="W1362" s="616">
        <v>68384.5</v>
      </c>
      <c r="X1362" s="581"/>
      <c r="Y1362" s="584"/>
      <c r="Z1362" s="584">
        <f t="shared" si="638"/>
        <v>4627352.5</v>
      </c>
      <c r="AA1362" s="581"/>
      <c r="AB1362" s="584"/>
      <c r="AC1362" s="585"/>
      <c r="AD1362" s="585">
        <v>2025</v>
      </c>
      <c r="AE1362" s="585">
        <v>2025</v>
      </c>
      <c r="AF1362" s="91"/>
      <c r="AG1362" s="262"/>
    </row>
    <row r="1363" spans="1:34" s="26" customFormat="1" ht="24" customHeight="1">
      <c r="A1363" s="585">
        <f t="shared" si="628"/>
        <v>262</v>
      </c>
      <c r="B1363" s="611" t="s">
        <v>729</v>
      </c>
      <c r="C1363" s="587">
        <f t="shared" si="637"/>
        <v>4627352.5</v>
      </c>
      <c r="D1363" s="613"/>
      <c r="E1363" s="613"/>
      <c r="F1363" s="614"/>
      <c r="G1363" s="578"/>
      <c r="H1363" s="615"/>
      <c r="I1363" s="615"/>
      <c r="J1363" s="616"/>
      <c r="K1363" s="613"/>
      <c r="L1363" s="617"/>
      <c r="M1363" s="618"/>
      <c r="N1363" s="618"/>
      <c r="O1363" s="618"/>
      <c r="P1363" s="619"/>
      <c r="Q1363" s="613"/>
      <c r="R1363" s="614"/>
      <c r="S1363" s="615"/>
      <c r="T1363" s="620">
        <v>5</v>
      </c>
      <c r="U1363" s="584">
        <f t="shared" si="640"/>
        <v>4558968</v>
      </c>
      <c r="V1363" s="619"/>
      <c r="W1363" s="616">
        <v>68384.5</v>
      </c>
      <c r="X1363" s="581"/>
      <c r="Y1363" s="584"/>
      <c r="Z1363" s="584">
        <f t="shared" si="638"/>
        <v>4627352.5</v>
      </c>
      <c r="AA1363" s="581"/>
      <c r="AB1363" s="584"/>
      <c r="AC1363" s="585"/>
      <c r="AD1363" s="585">
        <v>2025</v>
      </c>
      <c r="AE1363" s="585">
        <v>2025</v>
      </c>
      <c r="AF1363" s="91"/>
      <c r="AG1363" s="262"/>
    </row>
    <row r="1364" spans="1:34" s="26" customFormat="1" ht="24" customHeight="1">
      <c r="A1364" s="585">
        <f t="shared" si="628"/>
        <v>263</v>
      </c>
      <c r="B1364" s="611" t="s">
        <v>732</v>
      </c>
      <c r="C1364" s="587">
        <f t="shared" si="637"/>
        <v>4627352.5</v>
      </c>
      <c r="D1364" s="614"/>
      <c r="E1364" s="613"/>
      <c r="F1364" s="614"/>
      <c r="G1364" s="578"/>
      <c r="H1364" s="615"/>
      <c r="I1364" s="615"/>
      <c r="J1364" s="616"/>
      <c r="K1364" s="613"/>
      <c r="L1364" s="617"/>
      <c r="M1364" s="618"/>
      <c r="N1364" s="618"/>
      <c r="O1364" s="618"/>
      <c r="P1364" s="619"/>
      <c r="Q1364" s="613"/>
      <c r="R1364" s="614"/>
      <c r="S1364" s="615"/>
      <c r="T1364" s="620">
        <v>5</v>
      </c>
      <c r="U1364" s="584">
        <f>911793.6*T1364</f>
        <v>4558968</v>
      </c>
      <c r="V1364" s="619"/>
      <c r="W1364" s="616">
        <v>68384.5</v>
      </c>
      <c r="X1364" s="581"/>
      <c r="Y1364" s="584"/>
      <c r="Z1364" s="584">
        <f t="shared" si="638"/>
        <v>4627352.5</v>
      </c>
      <c r="AA1364" s="581"/>
      <c r="AB1364" s="584"/>
      <c r="AC1364" s="585"/>
      <c r="AD1364" s="585">
        <v>2025</v>
      </c>
      <c r="AE1364" s="585">
        <v>2025</v>
      </c>
      <c r="AF1364" s="91"/>
      <c r="AG1364" s="262"/>
      <c r="AH1364" s="262"/>
    </row>
    <row r="1365" spans="1:34" s="26" customFormat="1" ht="24" customHeight="1">
      <c r="A1365" s="585">
        <f t="shared" si="628"/>
        <v>264</v>
      </c>
      <c r="B1365" s="611" t="s">
        <v>730</v>
      </c>
      <c r="C1365" s="587">
        <f t="shared" si="637"/>
        <v>4627352.5</v>
      </c>
      <c r="D1365" s="614"/>
      <c r="E1365" s="613"/>
      <c r="F1365" s="614"/>
      <c r="G1365" s="578"/>
      <c r="H1365" s="615"/>
      <c r="I1365" s="615"/>
      <c r="J1365" s="616"/>
      <c r="K1365" s="613"/>
      <c r="L1365" s="617"/>
      <c r="M1365" s="618"/>
      <c r="N1365" s="618"/>
      <c r="O1365" s="618"/>
      <c r="P1365" s="619"/>
      <c r="Q1365" s="613"/>
      <c r="R1365" s="614"/>
      <c r="S1365" s="615"/>
      <c r="T1365" s="620">
        <v>5</v>
      </c>
      <c r="U1365" s="584">
        <f>911793.6*T1365</f>
        <v>4558968</v>
      </c>
      <c r="V1365" s="619"/>
      <c r="W1365" s="616">
        <v>68384.5</v>
      </c>
      <c r="X1365" s="581"/>
      <c r="Y1365" s="584"/>
      <c r="Z1365" s="584">
        <f t="shared" si="638"/>
        <v>4627352.5</v>
      </c>
      <c r="AA1365" s="581"/>
      <c r="AB1365" s="584"/>
      <c r="AC1365" s="585"/>
      <c r="AD1365" s="585">
        <v>2025</v>
      </c>
      <c r="AE1365" s="585">
        <v>2025</v>
      </c>
      <c r="AF1365" s="91"/>
      <c r="AG1365" s="262"/>
    </row>
    <row r="1366" spans="1:34" s="26" customFormat="1" ht="24" customHeight="1">
      <c r="A1366" s="585">
        <f t="shared" si="628"/>
        <v>265</v>
      </c>
      <c r="B1366" s="611" t="s">
        <v>392</v>
      </c>
      <c r="C1366" s="587">
        <f t="shared" si="637"/>
        <v>3279469.84</v>
      </c>
      <c r="D1366" s="614"/>
      <c r="E1366" s="613"/>
      <c r="F1366" s="614"/>
      <c r="G1366" s="578"/>
      <c r="H1366" s="615"/>
      <c r="I1366" s="615"/>
      <c r="J1366" s="616"/>
      <c r="K1366" s="613"/>
      <c r="L1366" s="617"/>
      <c r="M1366" s="618"/>
      <c r="N1366" s="618"/>
      <c r="O1366" s="618"/>
      <c r="P1366" s="619"/>
      <c r="Q1366" s="613"/>
      <c r="R1366" s="614"/>
      <c r="S1366" s="615"/>
      <c r="T1366" s="620">
        <v>4</v>
      </c>
      <c r="U1366" s="584">
        <f>807751.19*T1366</f>
        <v>3231004.76</v>
      </c>
      <c r="V1366" s="619"/>
      <c r="W1366" s="616">
        <v>48465.08</v>
      </c>
      <c r="X1366" s="581"/>
      <c r="Y1366" s="584"/>
      <c r="Z1366" s="584">
        <f t="shared" si="638"/>
        <v>3279469.84</v>
      </c>
      <c r="AA1366" s="581"/>
      <c r="AB1366" s="584"/>
      <c r="AC1366" s="585"/>
      <c r="AD1366" s="585">
        <v>2025</v>
      </c>
      <c r="AE1366" s="585">
        <v>2025</v>
      </c>
      <c r="AF1366" s="91"/>
      <c r="AG1366" s="262"/>
    </row>
    <row r="1367" spans="1:34" s="26" customFormat="1" ht="24" customHeight="1">
      <c r="A1367" s="585">
        <f t="shared" si="628"/>
        <v>266</v>
      </c>
      <c r="B1367" s="611" t="s">
        <v>393</v>
      </c>
      <c r="C1367" s="587">
        <f t="shared" si="637"/>
        <v>4627352.5</v>
      </c>
      <c r="D1367" s="614"/>
      <c r="E1367" s="613"/>
      <c r="F1367" s="614"/>
      <c r="G1367" s="578"/>
      <c r="H1367" s="615"/>
      <c r="I1367" s="615"/>
      <c r="J1367" s="616"/>
      <c r="K1367" s="613"/>
      <c r="L1367" s="617"/>
      <c r="M1367" s="618"/>
      <c r="N1367" s="618"/>
      <c r="O1367" s="618"/>
      <c r="P1367" s="619"/>
      <c r="Q1367" s="613"/>
      <c r="R1367" s="614"/>
      <c r="S1367" s="615"/>
      <c r="T1367" s="620">
        <v>5</v>
      </c>
      <c r="U1367" s="584">
        <f>911793.6*T1367</f>
        <v>4558968</v>
      </c>
      <c r="V1367" s="619"/>
      <c r="W1367" s="616">
        <v>68384.5</v>
      </c>
      <c r="X1367" s="581"/>
      <c r="Y1367" s="584"/>
      <c r="Z1367" s="584">
        <f t="shared" si="638"/>
        <v>4627352.5</v>
      </c>
      <c r="AA1367" s="581"/>
      <c r="AB1367" s="584"/>
      <c r="AC1367" s="585"/>
      <c r="AD1367" s="585">
        <v>2025</v>
      </c>
      <c r="AE1367" s="585">
        <v>2025</v>
      </c>
      <c r="AF1367" s="91"/>
      <c r="AG1367" s="262"/>
    </row>
    <row r="1368" spans="1:34" s="26" customFormat="1" ht="24" customHeight="1">
      <c r="A1368" s="585">
        <f t="shared" si="628"/>
        <v>267</v>
      </c>
      <c r="B1368" s="611" t="s">
        <v>394</v>
      </c>
      <c r="C1368" s="587">
        <f t="shared" si="637"/>
        <v>4627352.5</v>
      </c>
      <c r="D1368" s="614"/>
      <c r="E1368" s="613"/>
      <c r="F1368" s="614"/>
      <c r="G1368" s="578"/>
      <c r="H1368" s="615"/>
      <c r="I1368" s="615"/>
      <c r="J1368" s="616"/>
      <c r="K1368" s="613"/>
      <c r="L1368" s="617"/>
      <c r="M1368" s="618"/>
      <c r="N1368" s="618"/>
      <c r="O1368" s="618"/>
      <c r="P1368" s="619"/>
      <c r="Q1368" s="613"/>
      <c r="R1368" s="614"/>
      <c r="S1368" s="615"/>
      <c r="T1368" s="620">
        <v>5</v>
      </c>
      <c r="U1368" s="584">
        <f>911793.6*T1368</f>
        <v>4558968</v>
      </c>
      <c r="V1368" s="619"/>
      <c r="W1368" s="616">
        <v>68384.5</v>
      </c>
      <c r="X1368" s="581"/>
      <c r="Y1368" s="584"/>
      <c r="Z1368" s="584">
        <f t="shared" si="638"/>
        <v>4627352.5</v>
      </c>
      <c r="AA1368" s="581"/>
      <c r="AB1368" s="584"/>
      <c r="AC1368" s="585"/>
      <c r="AD1368" s="585">
        <v>2025</v>
      </c>
      <c r="AE1368" s="585">
        <v>2025</v>
      </c>
      <c r="AF1368" s="91"/>
      <c r="AG1368" s="262"/>
    </row>
    <row r="1369" spans="1:34" s="148" customFormat="1" ht="24" customHeight="1">
      <c r="A1369" s="883" t="s">
        <v>262</v>
      </c>
      <c r="B1369" s="883"/>
      <c r="C1369" s="16">
        <f>SUM(C1323:C1368)</f>
        <v>262674655.55000001</v>
      </c>
      <c r="D1369" s="16">
        <f t="shared" ref="D1369:AC1369" si="641">SUM(D1323:D1368)</f>
        <v>10027956.84</v>
      </c>
      <c r="E1369" s="16">
        <f t="shared" si="641"/>
        <v>0</v>
      </c>
      <c r="F1369" s="16">
        <f t="shared" si="641"/>
        <v>0</v>
      </c>
      <c r="G1369" s="16">
        <f t="shared" si="641"/>
        <v>12646672.42</v>
      </c>
      <c r="H1369" s="16">
        <f t="shared" si="641"/>
        <v>6165350.9299999997</v>
      </c>
      <c r="I1369" s="16">
        <f t="shared" si="641"/>
        <v>35098900.93</v>
      </c>
      <c r="J1369" s="396">
        <f t="shared" si="641"/>
        <v>12</v>
      </c>
      <c r="K1369" s="16">
        <f t="shared" si="641"/>
        <v>33256080</v>
      </c>
      <c r="L1369" s="16">
        <f t="shared" si="641"/>
        <v>17470297.300000001</v>
      </c>
      <c r="M1369" s="16">
        <f t="shared" si="641"/>
        <v>0</v>
      </c>
      <c r="N1369" s="396">
        <f t="shared" si="641"/>
        <v>3</v>
      </c>
      <c r="O1369" s="16">
        <f t="shared" si="641"/>
        <v>10800000</v>
      </c>
      <c r="P1369" s="16">
        <f t="shared" si="641"/>
        <v>0</v>
      </c>
      <c r="Q1369" s="16">
        <f t="shared" si="641"/>
        <v>0</v>
      </c>
      <c r="R1369" s="16">
        <f t="shared" si="641"/>
        <v>27539870.359999999</v>
      </c>
      <c r="S1369" s="16">
        <f t="shared" si="641"/>
        <v>2987715.71</v>
      </c>
      <c r="T1369" s="396">
        <f t="shared" si="641"/>
        <v>106</v>
      </c>
      <c r="U1369" s="16">
        <f t="shared" si="641"/>
        <v>93695401.310000002</v>
      </c>
      <c r="V1369" s="16">
        <f t="shared" si="641"/>
        <v>9241086.4399999995</v>
      </c>
      <c r="W1369" s="16">
        <f t="shared" si="641"/>
        <v>3745323.31</v>
      </c>
      <c r="X1369" s="16">
        <f t="shared" si="641"/>
        <v>0</v>
      </c>
      <c r="Y1369" s="16">
        <f t="shared" si="641"/>
        <v>0</v>
      </c>
      <c r="Z1369" s="16">
        <f t="shared" si="641"/>
        <v>106602832.05</v>
      </c>
      <c r="AA1369" s="16">
        <f t="shared" si="641"/>
        <v>0</v>
      </c>
      <c r="AB1369" s="16">
        <f t="shared" si="641"/>
        <v>156071823.5</v>
      </c>
      <c r="AC1369" s="16">
        <f t="shared" si="641"/>
        <v>0</v>
      </c>
      <c r="AD1369" s="798" t="s">
        <v>29</v>
      </c>
      <c r="AE1369" s="798" t="s">
        <v>29</v>
      </c>
      <c r="AF1369" s="146"/>
      <c r="AG1369" s="147"/>
    </row>
    <row r="1370" spans="1:34" ht="24" customHeight="1">
      <c r="A1370" s="888" t="s">
        <v>366</v>
      </c>
      <c r="B1370" s="888"/>
      <c r="C1370" s="888"/>
      <c r="D1370" s="888"/>
      <c r="E1370" s="888"/>
      <c r="F1370" s="888"/>
      <c r="G1370" s="888"/>
      <c r="H1370" s="888"/>
      <c r="I1370" s="888"/>
      <c r="J1370" s="888"/>
      <c r="K1370" s="888"/>
      <c r="L1370" s="888"/>
      <c r="M1370" s="888"/>
      <c r="N1370" s="888"/>
      <c r="O1370" s="888"/>
      <c r="P1370" s="888"/>
      <c r="Q1370" s="888"/>
      <c r="R1370" s="888"/>
      <c r="S1370" s="888"/>
      <c r="T1370" s="889"/>
      <c r="U1370" s="889"/>
      <c r="V1370" s="888"/>
      <c r="W1370" s="888"/>
      <c r="X1370" s="888"/>
      <c r="Y1370" s="888"/>
      <c r="Z1370" s="888"/>
      <c r="AA1370" s="888"/>
      <c r="AB1370" s="888"/>
      <c r="AC1370" s="888"/>
      <c r="AD1370" s="888"/>
      <c r="AE1370" s="888"/>
      <c r="AF1370" s="808"/>
      <c r="AG1370" s="806"/>
    </row>
    <row r="1371" spans="1:34" s="26" customFormat="1" ht="24" customHeight="1">
      <c r="A1371" s="18">
        <f>A1368+1</f>
        <v>268</v>
      </c>
      <c r="B1371" s="21" t="s">
        <v>856</v>
      </c>
      <c r="C1371" s="4">
        <f t="shared" ref="C1371:C1374" si="642">D1371+F1371+G1371+H1371+I1371+K1371+L1371+M1371+O1371+P1371+Q1371+R1371+S1371+W1371+V1371+X1371</f>
        <v>45425950.560000002</v>
      </c>
      <c r="D1371" s="9"/>
      <c r="E1371" s="21"/>
      <c r="F1371" s="21"/>
      <c r="G1371" s="12"/>
      <c r="H1371" s="13"/>
      <c r="I1371" s="13"/>
      <c r="J1371" s="21"/>
      <c r="K1371" s="9"/>
      <c r="L1371" s="12"/>
      <c r="M1371" s="22"/>
      <c r="N1371" s="807"/>
      <c r="O1371" s="22"/>
      <c r="P1371" s="717">
        <v>14838434.210000001</v>
      </c>
      <c r="Q1371" s="12"/>
      <c r="R1371" s="9">
        <v>28427173.559999999</v>
      </c>
      <c r="S1371" s="9"/>
      <c r="T1371" s="9"/>
      <c r="U1371" s="9"/>
      <c r="V1371" s="600">
        <f>90000+1421358.68</f>
        <v>1511358.68</v>
      </c>
      <c r="W1371" s="600">
        <f>222576.51+426407.6</f>
        <v>648984.11</v>
      </c>
      <c r="X1371" s="21"/>
      <c r="Y1371" s="21"/>
      <c r="Z1371" s="21"/>
      <c r="AA1371" s="21"/>
      <c r="AB1371" s="24">
        <f>C1371</f>
        <v>45425950.560000002</v>
      </c>
      <c r="AC1371" s="18"/>
      <c r="AD1371" s="18">
        <v>2025</v>
      </c>
      <c r="AE1371" s="18">
        <v>2026</v>
      </c>
      <c r="AF1371" s="25"/>
      <c r="AG1371" s="262"/>
    </row>
    <row r="1372" spans="1:34" s="26" customFormat="1" ht="24" customHeight="1">
      <c r="A1372" s="18">
        <f>A1371+1</f>
        <v>269</v>
      </c>
      <c r="B1372" s="786" t="s">
        <v>1175</v>
      </c>
      <c r="C1372" s="4">
        <f t="shared" si="642"/>
        <v>38572353.82</v>
      </c>
      <c r="D1372" s="9"/>
      <c r="E1372" s="21"/>
      <c r="F1372" s="21"/>
      <c r="G1372" s="12"/>
      <c r="H1372" s="13"/>
      <c r="I1372" s="13"/>
      <c r="J1372" s="21"/>
      <c r="K1372" s="9"/>
      <c r="L1372" s="12"/>
      <c r="M1372" s="22"/>
      <c r="N1372" s="807"/>
      <c r="O1372" s="22"/>
      <c r="P1372" s="12">
        <v>12165238.380000001</v>
      </c>
      <c r="Q1372" s="12"/>
      <c r="R1372" s="9">
        <v>24052934.219999999</v>
      </c>
      <c r="S1372" s="9"/>
      <c r="T1372" s="9"/>
      <c r="U1372" s="9"/>
      <c r="V1372" s="5">
        <v>1810908.63</v>
      </c>
      <c r="W1372" s="718">
        <v>543272.59</v>
      </c>
      <c r="X1372" s="21"/>
      <c r="Y1372" s="24"/>
      <c r="Z1372" s="24"/>
      <c r="AA1372" s="21"/>
      <c r="AB1372" s="24">
        <f>C1372</f>
        <v>38572353.82</v>
      </c>
      <c r="AC1372" s="18"/>
      <c r="AD1372" s="18">
        <v>2025</v>
      </c>
      <c r="AE1372" s="18">
        <v>2026</v>
      </c>
      <c r="AF1372" s="25"/>
      <c r="AG1372" s="262"/>
      <c r="AH1372" s="262"/>
    </row>
    <row r="1373" spans="1:34" s="26" customFormat="1" ht="24" customHeight="1">
      <c r="A1373" s="18">
        <f t="shared" ref="A1373:A1396" si="643">A1372+1</f>
        <v>270</v>
      </c>
      <c r="B1373" s="786" t="s">
        <v>1176</v>
      </c>
      <c r="C1373" s="4">
        <f t="shared" si="642"/>
        <v>39465432.25</v>
      </c>
      <c r="D1373" s="9"/>
      <c r="E1373" s="21"/>
      <c r="F1373" s="21"/>
      <c r="G1373" s="12"/>
      <c r="H1373" s="13"/>
      <c r="I1373" s="13"/>
      <c r="J1373" s="21"/>
      <c r="K1373" s="9"/>
      <c r="L1373" s="12"/>
      <c r="M1373" s="22"/>
      <c r="N1373" s="807"/>
      <c r="O1373" s="22"/>
      <c r="P1373" s="12">
        <v>12446904.16</v>
      </c>
      <c r="Q1373" s="12"/>
      <c r="R1373" s="9">
        <v>24609839.739999998</v>
      </c>
      <c r="S1373" s="9"/>
      <c r="T1373" s="9"/>
      <c r="U1373" s="9"/>
      <c r="V1373" s="5">
        <v>1852837.19</v>
      </c>
      <c r="W1373" s="718">
        <v>555851.16</v>
      </c>
      <c r="X1373" s="21"/>
      <c r="Y1373" s="24"/>
      <c r="Z1373" s="24"/>
      <c r="AA1373" s="21"/>
      <c r="AB1373" s="24">
        <f>C1373</f>
        <v>39465432.25</v>
      </c>
      <c r="AC1373" s="18"/>
      <c r="AD1373" s="18">
        <v>2025</v>
      </c>
      <c r="AE1373" s="18">
        <v>2026</v>
      </c>
      <c r="AF1373" s="25"/>
      <c r="AG1373" s="262"/>
      <c r="AH1373" s="262"/>
    </row>
    <row r="1374" spans="1:34" s="26" customFormat="1" ht="24" customHeight="1">
      <c r="A1374" s="18">
        <f t="shared" si="643"/>
        <v>271</v>
      </c>
      <c r="B1374" s="21" t="s">
        <v>1177</v>
      </c>
      <c r="C1374" s="4">
        <f t="shared" si="642"/>
        <v>22277693.27</v>
      </c>
      <c r="D1374" s="9"/>
      <c r="E1374" s="21"/>
      <c r="F1374" s="21"/>
      <c r="G1374" s="12"/>
      <c r="H1374" s="13"/>
      <c r="I1374" s="13"/>
      <c r="J1374" s="21"/>
      <c r="K1374" s="9"/>
      <c r="L1374" s="12"/>
      <c r="M1374" s="22"/>
      <c r="N1374" s="807"/>
      <c r="O1374" s="46"/>
      <c r="P1374" s="46">
        <v>6451080.2000000002</v>
      </c>
      <c r="Q1374" s="12"/>
      <c r="R1374" s="9">
        <v>14200269.92</v>
      </c>
      <c r="S1374" s="9"/>
      <c r="T1374" s="9"/>
      <c r="U1374" s="9"/>
      <c r="V1374" s="600">
        <f>322554.01+994018.89</f>
        <v>1316572.8999999999</v>
      </c>
      <c r="W1374" s="600">
        <f>96766.2+213004.05</f>
        <v>309770.25</v>
      </c>
      <c r="X1374" s="21"/>
      <c r="Y1374" s="24">
        <f>15407292.86*59%</f>
        <v>9090302.7899999991</v>
      </c>
      <c r="Z1374" s="24">
        <f>15407292.86*41%</f>
        <v>6316990.0700000003</v>
      </c>
      <c r="AA1374" s="21"/>
      <c r="AB1374" s="24">
        <f>C1374-Y1374-Z1374</f>
        <v>6870400.4100000001</v>
      </c>
      <c r="AC1374" s="18"/>
      <c r="AD1374" s="18">
        <v>2025</v>
      </c>
      <c r="AE1374" s="18">
        <v>2026</v>
      </c>
      <c r="AF1374" s="25"/>
      <c r="AG1374" s="262"/>
    </row>
    <row r="1375" spans="1:34" s="26" customFormat="1" ht="24" customHeight="1">
      <c r="A1375" s="18">
        <f t="shared" si="643"/>
        <v>272</v>
      </c>
      <c r="B1375" s="330" t="s">
        <v>875</v>
      </c>
      <c r="C1375" s="321">
        <f t="shared" ref="C1375:C1396" si="644">D1375+F1375+G1375+H1375+I1375+K1375+L1375+M1375+O1375+P1375+Q1375+R1375+S1375+W1375+V1375+X1375</f>
        <v>20301452.109999999</v>
      </c>
      <c r="D1375" s="322"/>
      <c r="E1375" s="330"/>
      <c r="F1375" s="330"/>
      <c r="G1375" s="323"/>
      <c r="H1375" s="348"/>
      <c r="I1375" s="348"/>
      <c r="J1375" s="330"/>
      <c r="K1375" s="322"/>
      <c r="L1375" s="323"/>
      <c r="M1375" s="325"/>
      <c r="N1375" s="336"/>
      <c r="O1375" s="325"/>
      <c r="P1375" s="561"/>
      <c r="Q1375" s="323"/>
      <c r="R1375" s="322">
        <v>18711015.77</v>
      </c>
      <c r="S1375" s="322"/>
      <c r="T1375" s="322"/>
      <c r="U1375" s="322"/>
      <c r="V1375" s="354">
        <v>1309771.1000000001</v>
      </c>
      <c r="W1375" s="354">
        <v>280665.24</v>
      </c>
      <c r="X1375" s="330"/>
      <c r="Y1375" s="339">
        <f>C1375*69%</f>
        <v>14008001.960000001</v>
      </c>
      <c r="Z1375" s="339">
        <f>C1375*31%</f>
        <v>6293450.1500000004</v>
      </c>
      <c r="AA1375" s="330"/>
      <c r="AB1375" s="339"/>
      <c r="AC1375" s="319"/>
      <c r="AD1375" s="319">
        <v>2025</v>
      </c>
      <c r="AE1375" s="319">
        <v>2025</v>
      </c>
      <c r="AF1375" s="25"/>
      <c r="AG1375" s="262"/>
    </row>
    <row r="1376" spans="1:34" s="26" customFormat="1" ht="24" customHeight="1">
      <c r="A1376" s="18">
        <f t="shared" si="643"/>
        <v>273</v>
      </c>
      <c r="B1376" s="330" t="s">
        <v>876</v>
      </c>
      <c r="C1376" s="321">
        <f t="shared" si="644"/>
        <v>21608514.399999999</v>
      </c>
      <c r="D1376" s="322"/>
      <c r="E1376" s="330"/>
      <c r="F1376" s="330"/>
      <c r="G1376" s="323"/>
      <c r="H1376" s="348"/>
      <c r="I1376" s="348"/>
      <c r="J1376" s="330"/>
      <c r="K1376" s="322"/>
      <c r="L1376" s="323"/>
      <c r="M1376" s="325"/>
      <c r="N1376" s="336"/>
      <c r="O1376" s="325"/>
      <c r="P1376" s="561"/>
      <c r="Q1376" s="323"/>
      <c r="R1376" s="322">
        <v>19915681.48</v>
      </c>
      <c r="S1376" s="322"/>
      <c r="T1376" s="322"/>
      <c r="U1376" s="322"/>
      <c r="V1376" s="354">
        <v>1394097.7</v>
      </c>
      <c r="W1376" s="354">
        <v>298735.21999999997</v>
      </c>
      <c r="X1376" s="330"/>
      <c r="Y1376" s="339">
        <f>C1376*59%</f>
        <v>12749023.5</v>
      </c>
      <c r="Z1376" s="339">
        <f>C1376*41%</f>
        <v>8859490.9000000004</v>
      </c>
      <c r="AA1376" s="330"/>
      <c r="AB1376" s="339"/>
      <c r="AC1376" s="319"/>
      <c r="AD1376" s="319">
        <v>2025</v>
      </c>
      <c r="AE1376" s="319">
        <v>2026</v>
      </c>
      <c r="AF1376" s="25"/>
      <c r="AG1376" s="262"/>
    </row>
    <row r="1377" spans="1:34" s="26" customFormat="1" ht="24" customHeight="1">
      <c r="A1377" s="18">
        <f t="shared" si="643"/>
        <v>274</v>
      </c>
      <c r="B1377" s="581" t="s">
        <v>1077</v>
      </c>
      <c r="C1377" s="587">
        <f t="shared" si="644"/>
        <v>17902492.48</v>
      </c>
      <c r="D1377" s="580"/>
      <c r="E1377" s="581"/>
      <c r="F1377" s="581"/>
      <c r="G1377" s="578"/>
      <c r="H1377" s="582"/>
      <c r="I1377" s="582"/>
      <c r="J1377" s="581"/>
      <c r="K1377" s="580"/>
      <c r="L1377" s="578"/>
      <c r="M1377" s="579"/>
      <c r="N1377" s="606"/>
      <c r="O1377" s="579"/>
      <c r="P1377" s="621"/>
      <c r="Q1377" s="578"/>
      <c r="R1377" s="580">
        <v>17549253.670000002</v>
      </c>
      <c r="S1377" s="580"/>
      <c r="T1377" s="580"/>
      <c r="U1377" s="580"/>
      <c r="V1377" s="622">
        <v>90000</v>
      </c>
      <c r="W1377" s="622">
        <v>263238.81</v>
      </c>
      <c r="X1377" s="581"/>
      <c r="Y1377" s="584"/>
      <c r="Z1377" s="584"/>
      <c r="AA1377" s="581"/>
      <c r="AB1377" s="584">
        <f>C1377</f>
        <v>17902492.48</v>
      </c>
      <c r="AC1377" s="585"/>
      <c r="AD1377" s="585">
        <v>2025</v>
      </c>
      <c r="AE1377" s="585">
        <v>2025</v>
      </c>
      <c r="AF1377" s="25"/>
      <c r="AG1377" s="262"/>
    </row>
    <row r="1378" spans="1:34" s="26" customFormat="1" ht="24" customHeight="1">
      <c r="A1378" s="18">
        <f t="shared" si="643"/>
        <v>275</v>
      </c>
      <c r="B1378" s="581" t="s">
        <v>1078</v>
      </c>
      <c r="C1378" s="587">
        <f t="shared" si="644"/>
        <v>3948087.3</v>
      </c>
      <c r="D1378" s="580">
        <v>1604196.21</v>
      </c>
      <c r="E1378" s="581"/>
      <c r="F1378" s="581"/>
      <c r="G1378" s="578">
        <v>2147613.94</v>
      </c>
      <c r="H1378" s="582"/>
      <c r="I1378" s="582"/>
      <c r="J1378" s="581"/>
      <c r="K1378" s="580"/>
      <c r="L1378" s="578"/>
      <c r="M1378" s="579"/>
      <c r="N1378" s="606"/>
      <c r="O1378" s="579"/>
      <c r="P1378" s="621"/>
      <c r="Q1378" s="578"/>
      <c r="R1378" s="580"/>
      <c r="S1378" s="580"/>
      <c r="T1378" s="580"/>
      <c r="U1378" s="580"/>
      <c r="V1378" s="622">
        <v>140000</v>
      </c>
      <c r="W1378" s="622">
        <v>56277.15</v>
      </c>
      <c r="X1378" s="581"/>
      <c r="Y1378" s="584"/>
      <c r="Z1378" s="584"/>
      <c r="AA1378" s="581"/>
      <c r="AB1378" s="584">
        <f>C1378</f>
        <v>3948087.3</v>
      </c>
      <c r="AC1378" s="585"/>
      <c r="AD1378" s="585">
        <v>2025</v>
      </c>
      <c r="AE1378" s="585">
        <v>2025</v>
      </c>
      <c r="AF1378" s="25"/>
      <c r="AG1378" s="262"/>
    </row>
    <row r="1379" spans="1:34" s="26" customFormat="1" ht="24" customHeight="1">
      <c r="A1379" s="18">
        <f t="shared" si="643"/>
        <v>276</v>
      </c>
      <c r="B1379" s="229" t="s">
        <v>312</v>
      </c>
      <c r="C1379" s="232">
        <f t="shared" si="644"/>
        <v>3544643.75</v>
      </c>
      <c r="D1379" s="228"/>
      <c r="E1379" s="231"/>
      <c r="F1379" s="303"/>
      <c r="G1379" s="182"/>
      <c r="H1379" s="229"/>
      <c r="I1379" s="234"/>
      <c r="J1379" s="229"/>
      <c r="K1379" s="228"/>
      <c r="L1379" s="385">
        <v>3403589.9</v>
      </c>
      <c r="M1379" s="381"/>
      <c r="N1379" s="381"/>
      <c r="O1379" s="381"/>
      <c r="P1379" s="382"/>
      <c r="Q1379" s="383"/>
      <c r="R1379" s="384"/>
      <c r="S1379" s="383"/>
      <c r="T1379" s="383"/>
      <c r="U1379" s="383"/>
      <c r="V1379" s="250">
        <v>90000</v>
      </c>
      <c r="W1379" s="385">
        <v>51053.85</v>
      </c>
      <c r="X1379" s="229"/>
      <c r="Y1379" s="229"/>
      <c r="Z1379" s="229"/>
      <c r="AA1379" s="229"/>
      <c r="AB1379" s="230">
        <f t="shared" ref="AB1379:AB1394" si="645">C1379</f>
        <v>3544643.75</v>
      </c>
      <c r="AC1379" s="231"/>
      <c r="AD1379" s="231">
        <v>2025</v>
      </c>
      <c r="AE1379" s="231">
        <v>2025</v>
      </c>
      <c r="AF1379" s="25"/>
      <c r="AG1379" s="91"/>
    </row>
    <row r="1380" spans="1:34" s="26" customFormat="1" ht="24" customHeight="1">
      <c r="A1380" s="18">
        <f t="shared" si="643"/>
        <v>277</v>
      </c>
      <c r="B1380" s="627" t="s">
        <v>227</v>
      </c>
      <c r="C1380" s="587">
        <f t="shared" si="644"/>
        <v>31443094.82</v>
      </c>
      <c r="D1380" s="580"/>
      <c r="E1380" s="585"/>
      <c r="F1380" s="623"/>
      <c r="G1380" s="578"/>
      <c r="H1380" s="581"/>
      <c r="I1380" s="582"/>
      <c r="J1380" s="581"/>
      <c r="K1380" s="580"/>
      <c r="L1380" s="624"/>
      <c r="M1380" s="601"/>
      <c r="N1380" s="601"/>
      <c r="O1380" s="601"/>
      <c r="P1380" s="625"/>
      <c r="Q1380" s="626"/>
      <c r="R1380" s="621">
        <v>30889748.59</v>
      </c>
      <c r="S1380" s="626"/>
      <c r="T1380" s="626"/>
      <c r="U1380" s="626"/>
      <c r="V1380" s="622">
        <v>90000</v>
      </c>
      <c r="W1380" s="621">
        <v>463346.23</v>
      </c>
      <c r="X1380" s="581"/>
      <c r="Y1380" s="581"/>
      <c r="Z1380" s="581"/>
      <c r="AA1380" s="581"/>
      <c r="AB1380" s="584">
        <f t="shared" si="645"/>
        <v>31443094.82</v>
      </c>
      <c r="AC1380" s="585"/>
      <c r="AD1380" s="585">
        <v>2025</v>
      </c>
      <c r="AE1380" s="585">
        <v>2025</v>
      </c>
      <c r="AF1380" s="25"/>
      <c r="AG1380" s="91"/>
    </row>
    <row r="1381" spans="1:34" s="26" customFormat="1" ht="24" customHeight="1">
      <c r="A1381" s="18">
        <f t="shared" si="643"/>
        <v>278</v>
      </c>
      <c r="B1381" s="304" t="s">
        <v>862</v>
      </c>
      <c r="C1381" s="232">
        <f>D1381+F1381+G1381+H1381+I1381+K1381+L1381+M1381+O1381+P1381+Q1381+R1381+S1381+W1381+V1381+X1381</f>
        <v>6671286.2999999998</v>
      </c>
      <c r="D1381" s="228"/>
      <c r="E1381" s="229"/>
      <c r="F1381" s="229"/>
      <c r="G1381" s="182"/>
      <c r="H1381" s="234"/>
      <c r="I1381" s="234"/>
      <c r="J1381" s="229"/>
      <c r="K1381" s="228"/>
      <c r="L1381" s="182"/>
      <c r="M1381" s="185"/>
      <c r="N1381" s="185"/>
      <c r="O1381" s="185"/>
      <c r="P1381" s="382">
        <v>6498804.2400000002</v>
      </c>
      <c r="Q1381" s="250"/>
      <c r="R1381" s="385"/>
      <c r="S1381" s="250"/>
      <c r="T1381" s="250"/>
      <c r="U1381" s="250"/>
      <c r="V1381" s="250">
        <v>75000</v>
      </c>
      <c r="W1381" s="385">
        <v>97482.06</v>
      </c>
      <c r="X1381" s="229"/>
      <c r="Y1381" s="229"/>
      <c r="Z1381" s="229"/>
      <c r="AA1381" s="229"/>
      <c r="AB1381" s="230">
        <f>C1381</f>
        <v>6671286.2999999998</v>
      </c>
      <c r="AC1381" s="231"/>
      <c r="AD1381" s="231">
        <v>2025</v>
      </c>
      <c r="AE1381" s="231">
        <v>2025</v>
      </c>
      <c r="AF1381" s="25"/>
      <c r="AG1381" s="91"/>
    </row>
    <row r="1382" spans="1:34" s="26" customFormat="1" ht="24" customHeight="1">
      <c r="A1382" s="18">
        <f t="shared" si="643"/>
        <v>279</v>
      </c>
      <c r="B1382" s="627" t="s">
        <v>1079</v>
      </c>
      <c r="C1382" s="587">
        <f>D1382+F1382+G1382+H1382+I1382+K1382+L1382+M1382+O1382+P1382+Q1382+R1382+S1382+W1382+V1382+X1382</f>
        <v>2932105.74</v>
      </c>
      <c r="D1382" s="580">
        <v>1629974.75</v>
      </c>
      <c r="E1382" s="581"/>
      <c r="F1382" s="581"/>
      <c r="G1382" s="578">
        <v>1120868.3400000001</v>
      </c>
      <c r="H1382" s="582"/>
      <c r="I1382" s="582"/>
      <c r="J1382" s="581"/>
      <c r="K1382" s="580"/>
      <c r="L1382" s="578"/>
      <c r="M1382" s="579"/>
      <c r="N1382" s="579"/>
      <c r="O1382" s="579"/>
      <c r="P1382" s="625"/>
      <c r="Q1382" s="622"/>
      <c r="R1382" s="621"/>
      <c r="S1382" s="622"/>
      <c r="T1382" s="622"/>
      <c r="U1382" s="622"/>
      <c r="V1382" s="622">
        <v>140000</v>
      </c>
      <c r="W1382" s="621">
        <v>41262.65</v>
      </c>
      <c r="X1382" s="581"/>
      <c r="Y1382" s="581"/>
      <c r="Z1382" s="581"/>
      <c r="AA1382" s="581"/>
      <c r="AB1382" s="584">
        <f>C1382</f>
        <v>2932105.74</v>
      </c>
      <c r="AC1382" s="585"/>
      <c r="AD1382" s="585">
        <v>2025</v>
      </c>
      <c r="AE1382" s="585">
        <v>2025</v>
      </c>
      <c r="AF1382" s="25"/>
      <c r="AG1382" s="91"/>
    </row>
    <row r="1383" spans="1:34" s="26" customFormat="1" ht="24" customHeight="1">
      <c r="A1383" s="18">
        <f t="shared" si="643"/>
        <v>280</v>
      </c>
      <c r="B1383" s="719" t="s">
        <v>1178</v>
      </c>
      <c r="C1383" s="4">
        <f>D1383+F1383+G1383+H1383+I1383+K1383+L1383+M1383+O1383+P1383+Q1383+R1383+S1383+W1383+V1383+X1383</f>
        <v>46035756.829999998</v>
      </c>
      <c r="D1383" s="9"/>
      <c r="E1383" s="21"/>
      <c r="F1383" s="21"/>
      <c r="G1383" s="12"/>
      <c r="H1383" s="13"/>
      <c r="I1383" s="13"/>
      <c r="J1383" s="21"/>
      <c r="K1383" s="9"/>
      <c r="L1383" s="12"/>
      <c r="M1383" s="22"/>
      <c r="N1383" s="22"/>
      <c r="O1383" s="46"/>
      <c r="P1383" s="46">
        <v>18394632.140000001</v>
      </c>
      <c r="Q1383" s="600"/>
      <c r="R1383" s="717">
        <v>24373708.379999999</v>
      </c>
      <c r="S1383" s="600"/>
      <c r="T1383" s="600"/>
      <c r="U1383" s="600"/>
      <c r="V1383" s="600">
        <f>919731.61+1706159.59</f>
        <v>2625891.2000000002</v>
      </c>
      <c r="W1383" s="717">
        <f>275919.48+365605.63</f>
        <v>641525.11</v>
      </c>
      <c r="X1383" s="21"/>
      <c r="Y1383" s="24">
        <f>26445473.6*59%</f>
        <v>15602829.42</v>
      </c>
      <c r="Z1383" s="24">
        <f>26445473.6*41%</f>
        <v>10842644.18</v>
      </c>
      <c r="AA1383" s="21"/>
      <c r="AB1383" s="24">
        <f>C1383-Y1383-Z1383</f>
        <v>19590283.23</v>
      </c>
      <c r="AC1383" s="18"/>
      <c r="AD1383" s="18">
        <v>2025</v>
      </c>
      <c r="AE1383" s="18">
        <v>2026</v>
      </c>
      <c r="AF1383" s="25"/>
      <c r="AG1383" s="262"/>
    </row>
    <row r="1384" spans="1:34" s="26" customFormat="1" ht="24" customHeight="1">
      <c r="A1384" s="18">
        <f t="shared" si="643"/>
        <v>281</v>
      </c>
      <c r="B1384" s="627" t="s">
        <v>1080</v>
      </c>
      <c r="C1384" s="587">
        <f>D1384+F1384+G1384+H1384+I1384+K1384+L1384+M1384+O1384+P1384+Q1384+R1384+S1384+W1384+V1384+X1384</f>
        <v>31379908.77</v>
      </c>
      <c r="D1384" s="580"/>
      <c r="E1384" s="581"/>
      <c r="F1384" s="581"/>
      <c r="G1384" s="578"/>
      <c r="H1384" s="582"/>
      <c r="I1384" s="582"/>
      <c r="J1384" s="581"/>
      <c r="K1384" s="580"/>
      <c r="L1384" s="578"/>
      <c r="M1384" s="579"/>
      <c r="N1384" s="579"/>
      <c r="O1384" s="579"/>
      <c r="P1384" s="625"/>
      <c r="Q1384" s="622"/>
      <c r="R1384" s="621">
        <v>30827496.32</v>
      </c>
      <c r="S1384" s="622"/>
      <c r="T1384" s="622"/>
      <c r="U1384" s="622"/>
      <c r="V1384" s="622">
        <v>90000</v>
      </c>
      <c r="W1384" s="621">
        <v>462412.45</v>
      </c>
      <c r="X1384" s="581"/>
      <c r="Y1384" s="581"/>
      <c r="Z1384" s="581"/>
      <c r="AA1384" s="581"/>
      <c r="AB1384" s="584">
        <f>C1384</f>
        <v>31379908.77</v>
      </c>
      <c r="AC1384" s="585"/>
      <c r="AD1384" s="585">
        <v>2025</v>
      </c>
      <c r="AE1384" s="585">
        <v>2025</v>
      </c>
      <c r="AF1384" s="25"/>
      <c r="AG1384" s="91"/>
    </row>
    <row r="1385" spans="1:34" s="26" customFormat="1" ht="24" customHeight="1">
      <c r="A1385" s="18">
        <f t="shared" si="643"/>
        <v>282</v>
      </c>
      <c r="B1385" s="229" t="s">
        <v>1282</v>
      </c>
      <c r="C1385" s="232">
        <f t="shared" si="644"/>
        <v>25954303.780000001</v>
      </c>
      <c r="D1385" s="228"/>
      <c r="E1385" s="229"/>
      <c r="F1385" s="229"/>
      <c r="G1385" s="182"/>
      <c r="H1385" s="234"/>
      <c r="I1385" s="234"/>
      <c r="J1385" s="229"/>
      <c r="K1385" s="228"/>
      <c r="L1385" s="182"/>
      <c r="M1385" s="185"/>
      <c r="N1385" s="185"/>
      <c r="O1385" s="185"/>
      <c r="P1385" s="236"/>
      <c r="Q1385" s="298"/>
      <c r="R1385" s="385">
        <v>25473205.690000001</v>
      </c>
      <c r="S1385" s="383"/>
      <c r="T1385" s="383"/>
      <c r="U1385" s="383"/>
      <c r="V1385" s="383">
        <v>99000</v>
      </c>
      <c r="W1385" s="385">
        <v>382098.09</v>
      </c>
      <c r="X1385" s="229"/>
      <c r="Y1385" s="229"/>
      <c r="Z1385" s="229"/>
      <c r="AA1385" s="229"/>
      <c r="AB1385" s="230">
        <f t="shared" si="645"/>
        <v>25954303.780000001</v>
      </c>
      <c r="AC1385" s="231"/>
      <c r="AD1385" s="231">
        <v>2025</v>
      </c>
      <c r="AE1385" s="231">
        <v>2025</v>
      </c>
      <c r="AF1385" s="25"/>
      <c r="AG1385" s="91"/>
    </row>
    <row r="1386" spans="1:34" s="26" customFormat="1" ht="24" customHeight="1">
      <c r="A1386" s="18">
        <f t="shared" si="643"/>
        <v>283</v>
      </c>
      <c r="B1386" s="304" t="s">
        <v>313</v>
      </c>
      <c r="C1386" s="232">
        <f t="shared" si="644"/>
        <v>10344299.01</v>
      </c>
      <c r="D1386" s="228"/>
      <c r="E1386" s="229"/>
      <c r="F1386" s="229"/>
      <c r="G1386" s="182"/>
      <c r="H1386" s="182"/>
      <c r="I1386" s="182"/>
      <c r="J1386" s="182"/>
      <c r="K1386" s="182"/>
      <c r="L1386" s="182"/>
      <c r="M1386" s="185"/>
      <c r="N1386" s="185"/>
      <c r="O1386" s="185"/>
      <c r="P1386" s="382">
        <v>10102757.65</v>
      </c>
      <c r="Q1386" s="250"/>
      <c r="R1386" s="385"/>
      <c r="S1386" s="250"/>
      <c r="T1386" s="250"/>
      <c r="U1386" s="250"/>
      <c r="V1386" s="250">
        <v>90000</v>
      </c>
      <c r="W1386" s="385">
        <v>151541.35999999999</v>
      </c>
      <c r="X1386" s="229"/>
      <c r="Y1386" s="229"/>
      <c r="Z1386" s="229"/>
      <c r="AA1386" s="229"/>
      <c r="AB1386" s="230">
        <f t="shared" si="645"/>
        <v>10344299.01</v>
      </c>
      <c r="AC1386" s="231"/>
      <c r="AD1386" s="231">
        <v>2025</v>
      </c>
      <c r="AE1386" s="231">
        <v>2025</v>
      </c>
      <c r="AF1386" s="25"/>
      <c r="AG1386" s="91"/>
    </row>
    <row r="1387" spans="1:34" s="26" customFormat="1" ht="24" customHeight="1">
      <c r="A1387" s="18">
        <f t="shared" si="643"/>
        <v>284</v>
      </c>
      <c r="B1387" s="304" t="s">
        <v>315</v>
      </c>
      <c r="C1387" s="232">
        <f t="shared" si="644"/>
        <v>1637809</v>
      </c>
      <c r="D1387" s="228"/>
      <c r="E1387" s="829">
        <v>1</v>
      </c>
      <c r="F1387" s="385">
        <v>1588974.38</v>
      </c>
      <c r="G1387" s="386"/>
      <c r="H1387" s="250"/>
      <c r="I1387" s="384"/>
      <c r="J1387" s="250"/>
      <c r="K1387" s="383"/>
      <c r="L1387" s="384"/>
      <c r="M1387" s="381"/>
      <c r="N1387" s="381"/>
      <c r="O1387" s="381"/>
      <c r="P1387" s="384"/>
      <c r="Q1387" s="250"/>
      <c r="R1387" s="385"/>
      <c r="S1387" s="250"/>
      <c r="T1387" s="250"/>
      <c r="U1387" s="250"/>
      <c r="V1387" s="250">
        <v>25000</v>
      </c>
      <c r="W1387" s="385">
        <v>23834.62</v>
      </c>
      <c r="X1387" s="229"/>
      <c r="Y1387" s="229"/>
      <c r="Z1387" s="229"/>
      <c r="AA1387" s="229"/>
      <c r="AB1387" s="230">
        <f t="shared" si="645"/>
        <v>1637809</v>
      </c>
      <c r="AC1387" s="231"/>
      <c r="AD1387" s="231">
        <v>2025</v>
      </c>
      <c r="AE1387" s="231">
        <v>2025</v>
      </c>
      <c r="AF1387" s="25"/>
      <c r="AG1387" s="91"/>
    </row>
    <row r="1388" spans="1:34" s="26" customFormat="1" ht="24" customHeight="1">
      <c r="A1388" s="18">
        <f t="shared" si="643"/>
        <v>285</v>
      </c>
      <c r="B1388" s="304" t="s">
        <v>317</v>
      </c>
      <c r="C1388" s="232">
        <f t="shared" si="644"/>
        <v>4913427</v>
      </c>
      <c r="D1388" s="228"/>
      <c r="E1388" s="257">
        <v>3</v>
      </c>
      <c r="F1388" s="228">
        <v>4766923.1500000004</v>
      </c>
      <c r="G1388" s="182"/>
      <c r="H1388" s="234"/>
      <c r="I1388" s="234"/>
      <c r="J1388" s="229"/>
      <c r="K1388" s="228"/>
      <c r="L1388" s="182"/>
      <c r="M1388" s="185"/>
      <c r="N1388" s="185"/>
      <c r="O1388" s="185"/>
      <c r="P1388" s="182"/>
      <c r="Q1388" s="182"/>
      <c r="R1388" s="228"/>
      <c r="S1388" s="228"/>
      <c r="T1388" s="228"/>
      <c r="U1388" s="228"/>
      <c r="V1388" s="250">
        <v>75000</v>
      </c>
      <c r="W1388" s="385">
        <v>71503.850000000006</v>
      </c>
      <c r="X1388" s="229"/>
      <c r="Y1388" s="229"/>
      <c r="Z1388" s="229"/>
      <c r="AA1388" s="229"/>
      <c r="AB1388" s="230">
        <f>C1388</f>
        <v>4913427</v>
      </c>
      <c r="AC1388" s="231"/>
      <c r="AD1388" s="231">
        <v>2025</v>
      </c>
      <c r="AE1388" s="231">
        <v>2025</v>
      </c>
      <c r="AF1388" s="25"/>
      <c r="AG1388" s="91"/>
    </row>
    <row r="1389" spans="1:34" s="26" customFormat="1" ht="24" customHeight="1">
      <c r="A1389" s="18">
        <f t="shared" si="643"/>
        <v>286</v>
      </c>
      <c r="B1389" s="304" t="s">
        <v>314</v>
      </c>
      <c r="C1389" s="232">
        <f>D1389+F1389+G1389+H1389+I1389+K1389+L1389+M1389+O1389+P1389+Q1389+R1389+S1389+W1389+V1389+X1389</f>
        <v>21306742.539999999</v>
      </c>
      <c r="D1389" s="228"/>
      <c r="E1389" s="257"/>
      <c r="F1389" s="228"/>
      <c r="G1389" s="182"/>
      <c r="H1389" s="234"/>
      <c r="I1389" s="234"/>
      <c r="J1389" s="229"/>
      <c r="K1389" s="228"/>
      <c r="L1389" s="182"/>
      <c r="M1389" s="185"/>
      <c r="N1389" s="195"/>
      <c r="O1389" s="182"/>
      <c r="P1389" s="182"/>
      <c r="Q1389" s="182"/>
      <c r="R1389" s="385">
        <v>20898268.510000002</v>
      </c>
      <c r="S1389" s="250"/>
      <c r="T1389" s="250"/>
      <c r="U1389" s="250"/>
      <c r="V1389" s="250">
        <v>95000</v>
      </c>
      <c r="W1389" s="385">
        <v>313474.03000000003</v>
      </c>
      <c r="X1389" s="229"/>
      <c r="Y1389" s="229"/>
      <c r="Z1389" s="229"/>
      <c r="AA1389" s="229"/>
      <c r="AB1389" s="230">
        <f>C1389</f>
        <v>21306742.539999999</v>
      </c>
      <c r="AC1389" s="231"/>
      <c r="AD1389" s="231">
        <v>2025</v>
      </c>
      <c r="AE1389" s="231">
        <v>2025</v>
      </c>
      <c r="AF1389" s="25"/>
      <c r="AG1389" s="91"/>
    </row>
    <row r="1390" spans="1:34" s="26" customFormat="1" ht="24" customHeight="1">
      <c r="A1390" s="18">
        <f t="shared" si="643"/>
        <v>287</v>
      </c>
      <c r="B1390" s="540" t="s">
        <v>857</v>
      </c>
      <c r="C1390" s="321">
        <f>D1390+F1390+G1390+H1390+I1390+K1390+L1390+M1390+O1390+P1390+Q1390+R1390+S1390+W1390+V1390+X1390</f>
        <v>67304536.290000007</v>
      </c>
      <c r="D1390" s="322"/>
      <c r="E1390" s="830"/>
      <c r="F1390" s="322"/>
      <c r="G1390" s="323"/>
      <c r="H1390" s="348"/>
      <c r="I1390" s="348"/>
      <c r="J1390" s="330"/>
      <c r="K1390" s="322"/>
      <c r="L1390" s="323"/>
      <c r="M1390" s="325"/>
      <c r="N1390" s="336"/>
      <c r="O1390" s="323"/>
      <c r="P1390" s="323">
        <v>37479905.759999998</v>
      </c>
      <c r="Q1390" s="323"/>
      <c r="R1390" s="322">
        <v>27111148.109999999</v>
      </c>
      <c r="S1390" s="322"/>
      <c r="T1390" s="322"/>
      <c r="U1390" s="322"/>
      <c r="V1390" s="331">
        <v>1744616.61</v>
      </c>
      <c r="W1390" s="562">
        <v>968865.81</v>
      </c>
      <c r="X1390" s="339"/>
      <c r="Y1390" s="339">
        <f>39085410.5*69%+28219125.79*59%</f>
        <v>43618217.460000001</v>
      </c>
      <c r="Z1390" s="339">
        <f>39085410.5*31%+28219125.79*41%</f>
        <v>23686318.829999998</v>
      </c>
      <c r="AA1390" s="330"/>
      <c r="AB1390" s="339"/>
      <c r="AC1390" s="319"/>
      <c r="AD1390" s="319">
        <v>2025</v>
      </c>
      <c r="AE1390" s="319">
        <v>2026</v>
      </c>
      <c r="AF1390" s="25"/>
      <c r="AG1390" s="262"/>
      <c r="AH1390" s="262"/>
    </row>
    <row r="1391" spans="1:34" s="26" customFormat="1" ht="24" customHeight="1">
      <c r="A1391" s="18">
        <f t="shared" si="643"/>
        <v>288</v>
      </c>
      <c r="B1391" s="627" t="s">
        <v>1081</v>
      </c>
      <c r="C1391" s="587">
        <f>D1391+F1391+G1391+H1391+I1391+K1391+L1391+M1391+O1391+P1391+Q1391+R1391+S1391+W1391+V1391+X1391</f>
        <v>11784460.99</v>
      </c>
      <c r="D1391" s="580">
        <v>3467165.96</v>
      </c>
      <c r="E1391" s="831">
        <v>2</v>
      </c>
      <c r="F1391" s="589">
        <f>1612809*E1391</f>
        <v>3225618</v>
      </c>
      <c r="G1391" s="578">
        <v>4641660.3600000003</v>
      </c>
      <c r="H1391" s="582"/>
      <c r="I1391" s="582"/>
      <c r="J1391" s="581"/>
      <c r="K1391" s="580"/>
      <c r="L1391" s="578"/>
      <c r="M1391" s="579"/>
      <c r="N1391" s="606"/>
      <c r="O1391" s="578"/>
      <c r="P1391" s="578"/>
      <c r="Q1391" s="578"/>
      <c r="R1391" s="580"/>
      <c r="S1391" s="580"/>
      <c r="T1391" s="580"/>
      <c r="U1391" s="580"/>
      <c r="V1391" s="629">
        <v>280000</v>
      </c>
      <c r="W1391" s="628">
        <v>170016.67</v>
      </c>
      <c r="X1391" s="584"/>
      <c r="Y1391" s="584"/>
      <c r="Z1391" s="584"/>
      <c r="AA1391" s="581"/>
      <c r="AB1391" s="584">
        <f>C1391</f>
        <v>11784460.99</v>
      </c>
      <c r="AC1391" s="585"/>
      <c r="AD1391" s="585">
        <v>2025</v>
      </c>
      <c r="AE1391" s="585">
        <v>2025</v>
      </c>
      <c r="AF1391" s="25"/>
      <c r="AG1391" s="262"/>
      <c r="AH1391" s="262"/>
    </row>
    <row r="1392" spans="1:34" s="26" customFormat="1" ht="24" customHeight="1">
      <c r="A1392" s="18">
        <f t="shared" si="643"/>
        <v>289</v>
      </c>
      <c r="B1392" s="304" t="s">
        <v>316</v>
      </c>
      <c r="C1392" s="232">
        <f>D1392+F1392+G1392+H1392+I1392+K1392+L1392+M1392+O1392+P1392+Q1392+R1392+S1392+W1392+V1392+X1392</f>
        <v>1637809</v>
      </c>
      <c r="D1392" s="228"/>
      <c r="E1392" s="257">
        <v>1</v>
      </c>
      <c r="F1392" s="228">
        <v>1588974.38</v>
      </c>
      <c r="G1392" s="182"/>
      <c r="H1392" s="234"/>
      <c r="I1392" s="234"/>
      <c r="J1392" s="229"/>
      <c r="K1392" s="228"/>
      <c r="L1392" s="182"/>
      <c r="M1392" s="185"/>
      <c r="N1392" s="195"/>
      <c r="O1392" s="182"/>
      <c r="P1392" s="182"/>
      <c r="Q1392" s="182"/>
      <c r="R1392" s="228"/>
      <c r="S1392" s="228"/>
      <c r="T1392" s="228"/>
      <c r="U1392" s="228"/>
      <c r="V1392" s="250">
        <v>25000</v>
      </c>
      <c r="W1392" s="385">
        <v>23834.62</v>
      </c>
      <c r="X1392" s="229"/>
      <c r="Y1392" s="229"/>
      <c r="Z1392" s="229"/>
      <c r="AA1392" s="229"/>
      <c r="AB1392" s="230">
        <f>C1392</f>
        <v>1637809</v>
      </c>
      <c r="AC1392" s="231"/>
      <c r="AD1392" s="231">
        <v>2025</v>
      </c>
      <c r="AE1392" s="231">
        <v>2025</v>
      </c>
      <c r="AF1392" s="25"/>
      <c r="AG1392" s="91"/>
    </row>
    <row r="1393" spans="1:34" s="26" customFormat="1" ht="24" customHeight="1">
      <c r="A1393" s="18">
        <f t="shared" si="643"/>
        <v>290</v>
      </c>
      <c r="B1393" s="35" t="s">
        <v>737</v>
      </c>
      <c r="C1393" s="4">
        <f>D1393+F1393+G1393+H1393+I1393+K1393+L1393+M1393+O1393+P1393+Q1393+R1393+S1393+W1393+V1393+X1393</f>
        <v>79752205.329999998</v>
      </c>
      <c r="D1393" s="9"/>
      <c r="E1393" s="87"/>
      <c r="F1393" s="4"/>
      <c r="G1393" s="12"/>
      <c r="H1393" s="13"/>
      <c r="I1393" s="13"/>
      <c r="J1393" s="21"/>
      <c r="K1393" s="9"/>
      <c r="L1393" s="12"/>
      <c r="M1393" s="22"/>
      <c r="N1393" s="22"/>
      <c r="O1393" s="22"/>
      <c r="P1393" s="12">
        <v>43407075.670000002</v>
      </c>
      <c r="Q1393" s="12"/>
      <c r="R1393" s="9">
        <v>31052714.32</v>
      </c>
      <c r="S1393" s="9"/>
      <c r="T1393" s="9"/>
      <c r="U1393" s="9"/>
      <c r="V1393" s="5">
        <f>2001828.49+2173690</f>
        <v>4175518.49</v>
      </c>
      <c r="W1393" s="718">
        <f>651106.14+465790.71</f>
        <v>1116896.8500000001</v>
      </c>
      <c r="X1393" s="21"/>
      <c r="Y1393" s="24">
        <f>33692195.03*69%</f>
        <v>23247614.57</v>
      </c>
      <c r="Z1393" s="24">
        <f>33692195.03*31%</f>
        <v>10444580.460000001</v>
      </c>
      <c r="AA1393" s="21"/>
      <c r="AB1393" s="24">
        <f>C1393-Y1393-Z1393</f>
        <v>46060010.299999997</v>
      </c>
      <c r="AC1393" s="18"/>
      <c r="AD1393" s="18">
        <v>2024</v>
      </c>
      <c r="AE1393" s="18">
        <v>2026</v>
      </c>
      <c r="AF1393" s="25"/>
      <c r="AG1393" s="262"/>
    </row>
    <row r="1394" spans="1:34" s="26" customFormat="1" ht="24" customHeight="1">
      <c r="A1394" s="18">
        <f t="shared" si="643"/>
        <v>291</v>
      </c>
      <c r="B1394" s="304" t="s">
        <v>318</v>
      </c>
      <c r="C1394" s="232">
        <f t="shared" si="644"/>
        <v>11981599.08</v>
      </c>
      <c r="D1394" s="228"/>
      <c r="E1394" s="229"/>
      <c r="F1394" s="229"/>
      <c r="G1394" s="182"/>
      <c r="H1394" s="234"/>
      <c r="I1394" s="234"/>
      <c r="J1394" s="229"/>
      <c r="K1394" s="228"/>
      <c r="L1394" s="182"/>
      <c r="M1394" s="185"/>
      <c r="N1394" s="195"/>
      <c r="O1394" s="185"/>
      <c r="P1394" s="182"/>
      <c r="Q1394" s="182"/>
      <c r="R1394" s="385">
        <v>11715861.16</v>
      </c>
      <c r="S1394" s="250"/>
      <c r="T1394" s="250"/>
      <c r="U1394" s="250"/>
      <c r="V1394" s="250">
        <v>90000</v>
      </c>
      <c r="W1394" s="385">
        <v>175737.92</v>
      </c>
      <c r="X1394" s="229"/>
      <c r="Y1394" s="229"/>
      <c r="Z1394" s="229"/>
      <c r="AA1394" s="229"/>
      <c r="AB1394" s="230">
        <f t="shared" si="645"/>
        <v>11981599.08</v>
      </c>
      <c r="AC1394" s="231"/>
      <c r="AD1394" s="231">
        <v>2025</v>
      </c>
      <c r="AE1394" s="231">
        <v>2025</v>
      </c>
      <c r="AF1394" s="25"/>
      <c r="AG1394" s="91"/>
    </row>
    <row r="1395" spans="1:34" s="26" customFormat="1" ht="24" customHeight="1">
      <c r="A1395" s="18">
        <f t="shared" si="643"/>
        <v>292</v>
      </c>
      <c r="B1395" s="540" t="s">
        <v>877</v>
      </c>
      <c r="C1395" s="321">
        <f t="shared" si="644"/>
        <v>23326548.510000002</v>
      </c>
      <c r="D1395" s="322"/>
      <c r="E1395" s="330"/>
      <c r="F1395" s="330"/>
      <c r="G1395" s="323"/>
      <c r="H1395" s="348"/>
      <c r="I1395" s="348"/>
      <c r="J1395" s="330"/>
      <c r="K1395" s="322"/>
      <c r="L1395" s="323"/>
      <c r="M1395" s="325"/>
      <c r="N1395" s="336"/>
      <c r="O1395" s="325"/>
      <c r="P1395" s="323"/>
      <c r="Q1395" s="323"/>
      <c r="R1395" s="561">
        <v>21499123.050000001</v>
      </c>
      <c r="S1395" s="354"/>
      <c r="T1395" s="354"/>
      <c r="U1395" s="354"/>
      <c r="V1395" s="354">
        <v>1504938.61</v>
      </c>
      <c r="W1395" s="561">
        <v>322486.84999999998</v>
      </c>
      <c r="X1395" s="330"/>
      <c r="Y1395" s="339">
        <f>C1395*69%</f>
        <v>16095318.470000001</v>
      </c>
      <c r="Z1395" s="339">
        <f>C1395*31%</f>
        <v>7231230.04</v>
      </c>
      <c r="AA1395" s="330"/>
      <c r="AB1395" s="339"/>
      <c r="AC1395" s="319"/>
      <c r="AD1395" s="319">
        <v>2025</v>
      </c>
      <c r="AE1395" s="319">
        <v>2026</v>
      </c>
      <c r="AF1395" s="25"/>
      <c r="AG1395" s="262"/>
    </row>
    <row r="1396" spans="1:34" s="26" customFormat="1" ht="24" customHeight="1">
      <c r="A1396" s="18">
        <f t="shared" si="643"/>
        <v>293</v>
      </c>
      <c r="B1396" s="540" t="s">
        <v>878</v>
      </c>
      <c r="C1396" s="321">
        <f t="shared" si="644"/>
        <v>31857817.780000001</v>
      </c>
      <c r="D1396" s="322"/>
      <c r="E1396" s="330"/>
      <c r="F1396" s="330"/>
      <c r="G1396" s="323"/>
      <c r="H1396" s="348"/>
      <c r="I1396" s="348"/>
      <c r="J1396" s="330"/>
      <c r="K1396" s="322"/>
      <c r="L1396" s="323"/>
      <c r="M1396" s="325"/>
      <c r="N1396" s="336"/>
      <c r="O1396" s="325"/>
      <c r="P1396" s="323"/>
      <c r="Q1396" s="323"/>
      <c r="R1396" s="561">
        <v>29362044.039999999</v>
      </c>
      <c r="S1396" s="354"/>
      <c r="T1396" s="354"/>
      <c r="U1396" s="354"/>
      <c r="V1396" s="354">
        <v>2055343.08</v>
      </c>
      <c r="W1396" s="561">
        <v>440430.66</v>
      </c>
      <c r="X1396" s="330"/>
      <c r="Y1396" s="339">
        <f>C1396*69%</f>
        <v>21981894.27</v>
      </c>
      <c r="Z1396" s="339">
        <f>C1396*31%</f>
        <v>9875923.5099999998</v>
      </c>
      <c r="AA1396" s="330"/>
      <c r="AB1396" s="339"/>
      <c r="AC1396" s="319"/>
      <c r="AD1396" s="319">
        <v>2025</v>
      </c>
      <c r="AE1396" s="319">
        <v>2026</v>
      </c>
      <c r="AF1396" s="25"/>
      <c r="AG1396" s="262"/>
    </row>
    <row r="1397" spans="1:34" s="148" customFormat="1" ht="24" customHeight="1">
      <c r="A1397" s="883" t="s">
        <v>262</v>
      </c>
      <c r="B1397" s="883"/>
      <c r="C1397" s="16">
        <f>SUM(C1371:C1396)</f>
        <v>623310330.71000004</v>
      </c>
      <c r="D1397" s="16">
        <f t="shared" ref="D1397:AC1397" si="646">SUM(D1371:D1396)</f>
        <v>6701336.9199999999</v>
      </c>
      <c r="E1397" s="396">
        <f t="shared" si="646"/>
        <v>7</v>
      </c>
      <c r="F1397" s="16">
        <f t="shared" si="646"/>
        <v>11170489.91</v>
      </c>
      <c r="G1397" s="16">
        <f t="shared" si="646"/>
        <v>7910142.6399999997</v>
      </c>
      <c r="H1397" s="16">
        <f t="shared" si="646"/>
        <v>0</v>
      </c>
      <c r="I1397" s="16">
        <f t="shared" si="646"/>
        <v>0</v>
      </c>
      <c r="J1397" s="16">
        <f t="shared" si="646"/>
        <v>0</v>
      </c>
      <c r="K1397" s="16">
        <f t="shared" si="646"/>
        <v>0</v>
      </c>
      <c r="L1397" s="16">
        <f t="shared" si="646"/>
        <v>3403589.9</v>
      </c>
      <c r="M1397" s="16">
        <f t="shared" si="646"/>
        <v>0</v>
      </c>
      <c r="N1397" s="16">
        <f t="shared" si="646"/>
        <v>0</v>
      </c>
      <c r="O1397" s="16">
        <f t="shared" si="646"/>
        <v>0</v>
      </c>
      <c r="P1397" s="16">
        <f t="shared" si="646"/>
        <v>161784832.41</v>
      </c>
      <c r="Q1397" s="16">
        <f t="shared" si="646"/>
        <v>0</v>
      </c>
      <c r="R1397" s="16">
        <f t="shared" si="646"/>
        <v>400669486.52999997</v>
      </c>
      <c r="S1397" s="16">
        <f t="shared" si="646"/>
        <v>0</v>
      </c>
      <c r="T1397" s="16">
        <f t="shared" si="646"/>
        <v>0</v>
      </c>
      <c r="U1397" s="16">
        <f t="shared" si="646"/>
        <v>0</v>
      </c>
      <c r="V1397" s="16">
        <f t="shared" si="646"/>
        <v>22795854.190000001</v>
      </c>
      <c r="W1397" s="16">
        <f t="shared" si="646"/>
        <v>8874598.2100000009</v>
      </c>
      <c r="X1397" s="16">
        <f t="shared" si="646"/>
        <v>0</v>
      </c>
      <c r="Y1397" s="16">
        <f t="shared" si="646"/>
        <v>156393202.44</v>
      </c>
      <c r="Z1397" s="16">
        <f t="shared" si="646"/>
        <v>83550628.140000001</v>
      </c>
      <c r="AA1397" s="16">
        <f t="shared" si="646"/>
        <v>0</v>
      </c>
      <c r="AB1397" s="16">
        <f t="shared" si="646"/>
        <v>383366500.13</v>
      </c>
      <c r="AC1397" s="16">
        <f t="shared" si="646"/>
        <v>0</v>
      </c>
      <c r="AD1397" s="798" t="s">
        <v>29</v>
      </c>
      <c r="AE1397" s="798" t="s">
        <v>29</v>
      </c>
      <c r="AF1397" s="146"/>
      <c r="AG1397" s="147"/>
    </row>
    <row r="1398" spans="1:34" ht="24" customHeight="1">
      <c r="A1398" s="932" t="s">
        <v>368</v>
      </c>
      <c r="B1398" s="932"/>
      <c r="C1398" s="932"/>
      <c r="D1398" s="932"/>
      <c r="E1398" s="932"/>
      <c r="F1398" s="932"/>
      <c r="G1398" s="932"/>
      <c r="H1398" s="932"/>
      <c r="I1398" s="932"/>
      <c r="J1398" s="932"/>
      <c r="K1398" s="932"/>
      <c r="L1398" s="932"/>
      <c r="M1398" s="932"/>
      <c r="N1398" s="932"/>
      <c r="O1398" s="932"/>
      <c r="P1398" s="932"/>
      <c r="Q1398" s="932"/>
      <c r="R1398" s="932"/>
      <c r="S1398" s="932"/>
      <c r="T1398" s="932"/>
      <c r="U1398" s="932"/>
      <c r="V1398" s="932"/>
      <c r="W1398" s="932"/>
      <c r="X1398" s="932"/>
      <c r="Y1398" s="932"/>
      <c r="Z1398" s="932"/>
      <c r="AA1398" s="932"/>
      <c r="AB1398" s="932"/>
      <c r="AC1398" s="932"/>
      <c r="AD1398" s="932"/>
      <c r="AE1398" s="932"/>
      <c r="AF1398" s="441"/>
      <c r="AG1398" s="441"/>
    </row>
    <row r="1399" spans="1:34" ht="24" customHeight="1">
      <c r="A1399" s="648">
        <f>A1396+1</f>
        <v>294</v>
      </c>
      <c r="B1399" s="53" t="s">
        <v>1121</v>
      </c>
      <c r="C1399" s="649">
        <f t="shared" ref="C1399:C1400" si="647">D1399+F1399+G1399+H1399+I1399+K1399+L1399+M1399+O1399+P1399+Q1399+R1399+S1399+W1399+V1399+X1399</f>
        <v>3542950</v>
      </c>
      <c r="D1399" s="650"/>
      <c r="E1399" s="650"/>
      <c r="F1399" s="650"/>
      <c r="G1399" s="651"/>
      <c r="H1399" s="650"/>
      <c r="I1399" s="650"/>
      <c r="J1399" s="650"/>
      <c r="K1399" s="650"/>
      <c r="L1399" s="651"/>
      <c r="M1399" s="651"/>
      <c r="N1399" s="653">
        <v>1</v>
      </c>
      <c r="O1399" s="651">
        <v>3333000</v>
      </c>
      <c r="P1399" s="650"/>
      <c r="Q1399" s="650"/>
      <c r="R1399" s="650"/>
      <c r="S1399" s="650"/>
      <c r="T1399" s="650"/>
      <c r="U1399" s="647"/>
      <c r="V1399" s="650">
        <v>160000</v>
      </c>
      <c r="W1399" s="654">
        <v>49950</v>
      </c>
      <c r="X1399" s="647"/>
      <c r="Y1399" s="647"/>
      <c r="Z1399" s="650">
        <f>C1399</f>
        <v>3542950</v>
      </c>
      <c r="AA1399" s="647"/>
      <c r="AB1399" s="647"/>
      <c r="AC1399" s="647"/>
      <c r="AD1399" s="648">
        <v>2025</v>
      </c>
      <c r="AE1399" s="648">
        <v>2025</v>
      </c>
      <c r="AF1399" s="655"/>
      <c r="AG1399" s="655"/>
    </row>
    <row r="1400" spans="1:34" ht="24" customHeight="1">
      <c r="A1400" s="18">
        <f>A1399+1</f>
        <v>295</v>
      </c>
      <c r="B1400" s="53" t="s">
        <v>568</v>
      </c>
      <c r="C1400" s="4">
        <f t="shared" si="647"/>
        <v>36405418.100000001</v>
      </c>
      <c r="D1400" s="69"/>
      <c r="E1400" s="69"/>
      <c r="F1400" s="69"/>
      <c r="G1400" s="710"/>
      <c r="H1400" s="69"/>
      <c r="I1400" s="69"/>
      <c r="J1400" s="69"/>
      <c r="K1400" s="69"/>
      <c r="L1400" s="710"/>
      <c r="M1400" s="710"/>
      <c r="N1400" s="710"/>
      <c r="O1400" s="710"/>
      <c r="P1400" s="69">
        <v>11670408.630000001</v>
      </c>
      <c r="Q1400" s="69"/>
      <c r="R1400" s="69">
        <f>10610222.93+12464341.03</f>
        <v>23074563.960000001</v>
      </c>
      <c r="S1400" s="69"/>
      <c r="T1400" s="69"/>
      <c r="U1400" s="69"/>
      <c r="V1400" s="129">
        <f>583520.43+742715.61</f>
        <v>1326236.04</v>
      </c>
      <c r="W1400" s="720">
        <f>175056.13+159153.34</f>
        <v>334209.46999999997</v>
      </c>
      <c r="X1400" s="69"/>
      <c r="Y1400" s="69">
        <f>11512091.88*69%</f>
        <v>7943343.4000000004</v>
      </c>
      <c r="Z1400" s="69">
        <f>11512091.88*31%</f>
        <v>3568748.48</v>
      </c>
      <c r="AA1400" s="69"/>
      <c r="AB1400" s="69">
        <f>C1400-Y1400-Z1400</f>
        <v>24893326.219999999</v>
      </c>
      <c r="AC1400" s="798"/>
      <c r="AD1400" s="18">
        <v>2025</v>
      </c>
      <c r="AE1400" s="18">
        <v>2025</v>
      </c>
      <c r="AF1400" s="679"/>
      <c r="AG1400" s="262"/>
    </row>
    <row r="1401" spans="1:34" ht="24" customHeight="1">
      <c r="A1401" s="319">
        <f t="shared" ref="A1401:A1402" si="648">A1400+1</f>
        <v>296</v>
      </c>
      <c r="B1401" s="53" t="s">
        <v>1122</v>
      </c>
      <c r="C1401" s="649">
        <f t="shared" ref="C1401:C1402" si="649">D1401+F1401+G1401+H1401+I1401+K1401+L1401+M1401+O1401+P1401+Q1401+R1401+S1401+W1401+V1401+X1401</f>
        <v>3542950</v>
      </c>
      <c r="D1401" s="650"/>
      <c r="E1401" s="650"/>
      <c r="F1401" s="650"/>
      <c r="G1401" s="651"/>
      <c r="H1401" s="650"/>
      <c r="I1401" s="650"/>
      <c r="J1401" s="650"/>
      <c r="K1401" s="650"/>
      <c r="L1401" s="651"/>
      <c r="M1401" s="651"/>
      <c r="N1401" s="653">
        <v>1</v>
      </c>
      <c r="O1401" s="651">
        <v>3333000</v>
      </c>
      <c r="P1401" s="650"/>
      <c r="Q1401" s="650"/>
      <c r="R1401" s="650"/>
      <c r="S1401" s="650"/>
      <c r="T1401" s="650"/>
      <c r="U1401" s="650"/>
      <c r="V1401" s="650">
        <v>160000</v>
      </c>
      <c r="W1401" s="654">
        <v>49950</v>
      </c>
      <c r="X1401" s="650"/>
      <c r="Y1401" s="650"/>
      <c r="Z1401" s="650">
        <f>C1401</f>
        <v>3542950</v>
      </c>
      <c r="AA1401" s="650"/>
      <c r="AB1401" s="650"/>
      <c r="AC1401" s="652"/>
      <c r="AD1401" s="648">
        <v>2025</v>
      </c>
      <c r="AE1401" s="648">
        <v>2025</v>
      </c>
      <c r="AF1401" s="656"/>
      <c r="AG1401" s="262"/>
    </row>
    <row r="1402" spans="1:34" ht="24" customHeight="1">
      <c r="A1402" s="319">
        <f t="shared" si="648"/>
        <v>297</v>
      </c>
      <c r="B1402" s="545" t="s">
        <v>879</v>
      </c>
      <c r="C1402" s="321">
        <f t="shared" si="649"/>
        <v>42455420.07</v>
      </c>
      <c r="D1402" s="347"/>
      <c r="E1402" s="347"/>
      <c r="F1402" s="347"/>
      <c r="G1402" s="542"/>
      <c r="H1402" s="347"/>
      <c r="I1402" s="347"/>
      <c r="J1402" s="347"/>
      <c r="K1402" s="347"/>
      <c r="L1402" s="542"/>
      <c r="M1402" s="542"/>
      <c r="N1402" s="542"/>
      <c r="O1402" s="542"/>
      <c r="P1402" s="331">
        <v>16964027.280000001</v>
      </c>
      <c r="Q1402" s="347"/>
      <c r="R1402" s="339">
        <v>22478093.100000001</v>
      </c>
      <c r="S1402" s="347"/>
      <c r="T1402" s="347"/>
      <c r="U1402" s="347"/>
      <c r="V1402" s="541">
        <f>848201.36+1573466.52</f>
        <v>2421667.88</v>
      </c>
      <c r="W1402" s="339">
        <f>254460.41+337171.4</f>
        <v>591631.81000000006</v>
      </c>
      <c r="X1402" s="347"/>
      <c r="Y1402" s="347">
        <f>24388731.02*69%</f>
        <v>16828224.399999999</v>
      </c>
      <c r="Z1402" s="347">
        <f>24388731.02*31%</f>
        <v>7560506.6200000001</v>
      </c>
      <c r="AA1402" s="347"/>
      <c r="AB1402" s="347">
        <f>C1402-Y1402-Z1402</f>
        <v>18066689.050000001</v>
      </c>
      <c r="AC1402" s="802"/>
      <c r="AD1402" s="319">
        <v>2025</v>
      </c>
      <c r="AE1402" s="319">
        <v>2025</v>
      </c>
      <c r="AF1402" s="544"/>
      <c r="AG1402" s="262"/>
      <c r="AH1402" s="262"/>
    </row>
    <row r="1403" spans="1:34" s="148" customFormat="1" ht="24" customHeight="1">
      <c r="A1403" s="933" t="s">
        <v>262</v>
      </c>
      <c r="B1403" s="933"/>
      <c r="C1403" s="391">
        <f>SUM(C1399:C1402)</f>
        <v>85946738.170000002</v>
      </c>
      <c r="D1403" s="391">
        <f t="shared" ref="D1403:AC1403" si="650">SUM(D1399:D1402)</f>
        <v>0</v>
      </c>
      <c r="E1403" s="391">
        <f t="shared" si="650"/>
        <v>0</v>
      </c>
      <c r="F1403" s="391">
        <f t="shared" si="650"/>
        <v>0</v>
      </c>
      <c r="G1403" s="391">
        <f t="shared" si="650"/>
        <v>0</v>
      </c>
      <c r="H1403" s="391">
        <f t="shared" si="650"/>
        <v>0</v>
      </c>
      <c r="I1403" s="391">
        <f t="shared" si="650"/>
        <v>0</v>
      </c>
      <c r="J1403" s="391">
        <f t="shared" si="650"/>
        <v>0</v>
      </c>
      <c r="K1403" s="391">
        <f t="shared" si="650"/>
        <v>0</v>
      </c>
      <c r="L1403" s="391">
        <f t="shared" si="650"/>
        <v>0</v>
      </c>
      <c r="M1403" s="391">
        <f t="shared" si="650"/>
        <v>0</v>
      </c>
      <c r="N1403" s="832">
        <f t="shared" si="650"/>
        <v>2</v>
      </c>
      <c r="O1403" s="391">
        <f t="shared" si="650"/>
        <v>6666000</v>
      </c>
      <c r="P1403" s="391">
        <f t="shared" si="650"/>
        <v>28634435.91</v>
      </c>
      <c r="Q1403" s="391">
        <f t="shared" si="650"/>
        <v>0</v>
      </c>
      <c r="R1403" s="391">
        <f t="shared" si="650"/>
        <v>45552657.060000002</v>
      </c>
      <c r="S1403" s="391">
        <f t="shared" si="650"/>
        <v>0</v>
      </c>
      <c r="T1403" s="391">
        <f t="shared" si="650"/>
        <v>0</v>
      </c>
      <c r="U1403" s="391">
        <f t="shared" si="650"/>
        <v>0</v>
      </c>
      <c r="V1403" s="391">
        <f t="shared" si="650"/>
        <v>4067903.92</v>
      </c>
      <c r="W1403" s="391">
        <f t="shared" si="650"/>
        <v>1025741.28</v>
      </c>
      <c r="X1403" s="391">
        <f t="shared" si="650"/>
        <v>0</v>
      </c>
      <c r="Y1403" s="391">
        <f t="shared" si="650"/>
        <v>24771567.800000001</v>
      </c>
      <c r="Z1403" s="391">
        <f>SUM(Z1399:Z1402)</f>
        <v>18215155.100000001</v>
      </c>
      <c r="AA1403" s="391">
        <f t="shared" si="650"/>
        <v>0</v>
      </c>
      <c r="AB1403" s="391">
        <f t="shared" si="650"/>
        <v>42960015.270000003</v>
      </c>
      <c r="AC1403" s="391">
        <f t="shared" si="650"/>
        <v>0</v>
      </c>
      <c r="AD1403" s="802" t="s">
        <v>29</v>
      </c>
      <c r="AE1403" s="802" t="s">
        <v>29</v>
      </c>
      <c r="AF1403" s="147"/>
      <c r="AG1403" s="147"/>
    </row>
    <row r="1404" spans="1:34" ht="24" customHeight="1">
      <c r="A1404" s="888" t="s">
        <v>369</v>
      </c>
      <c r="B1404" s="888"/>
      <c r="C1404" s="888"/>
      <c r="D1404" s="888"/>
      <c r="E1404" s="888"/>
      <c r="F1404" s="888"/>
      <c r="G1404" s="888"/>
      <c r="H1404" s="888"/>
      <c r="I1404" s="888"/>
      <c r="J1404" s="888"/>
      <c r="K1404" s="888"/>
      <c r="L1404" s="888"/>
      <c r="M1404" s="888"/>
      <c r="N1404" s="888"/>
      <c r="O1404" s="888"/>
      <c r="P1404" s="888"/>
      <c r="Q1404" s="888"/>
      <c r="R1404" s="888"/>
      <c r="S1404" s="888"/>
      <c r="T1404" s="889"/>
      <c r="U1404" s="889"/>
      <c r="V1404" s="888"/>
      <c r="W1404" s="888"/>
      <c r="X1404" s="888"/>
      <c r="Y1404" s="888"/>
      <c r="Z1404" s="888"/>
      <c r="AA1404" s="888"/>
      <c r="AB1404" s="888"/>
      <c r="AC1404" s="888"/>
      <c r="AD1404" s="888"/>
      <c r="AE1404" s="888"/>
      <c r="AF1404" s="808"/>
      <c r="AG1404" s="806"/>
    </row>
    <row r="1405" spans="1:34" s="26" customFormat="1" ht="24" customHeight="1">
      <c r="A1405" s="18">
        <f>A1402+1</f>
        <v>298</v>
      </c>
      <c r="B1405" s="53" t="s">
        <v>234</v>
      </c>
      <c r="C1405" s="4">
        <f>D1405+F1405+G1405+H1405+I1405+K1405+L1405+M1405+O1405+P1405+Q1405+R1405+S1405+W1405+V1405+X1405</f>
        <v>1163796.4099999999</v>
      </c>
      <c r="D1405" s="9">
        <f>ROUND(1269.2*660.21,2)</f>
        <v>837938.53</v>
      </c>
      <c r="E1405" s="36"/>
      <c r="F1405" s="9"/>
      <c r="G1405" s="12"/>
      <c r="H1405" s="13"/>
      <c r="I1405" s="13"/>
      <c r="J1405" s="21"/>
      <c r="K1405" s="9"/>
      <c r="L1405" s="12"/>
      <c r="M1405" s="22"/>
      <c r="N1405" s="807"/>
      <c r="O1405" s="12"/>
      <c r="P1405" s="3"/>
      <c r="Q1405" s="9"/>
      <c r="R1405" s="21"/>
      <c r="S1405" s="13"/>
      <c r="T1405" s="110"/>
      <c r="U1405" s="110"/>
      <c r="V1405" s="5">
        <v>313288.8</v>
      </c>
      <c r="W1405" s="24">
        <f>(D1405+F1405+G1405+H1405+I1405+K1405+L1405+M1405+O1405+P1405+Q1405+R1405+S1405)*1.5%</f>
        <v>12569.08</v>
      </c>
      <c r="X1405" s="21"/>
      <c r="Y1405" s="21"/>
      <c r="Z1405" s="21"/>
      <c r="AA1405" s="21"/>
      <c r="AB1405" s="24">
        <f>C1405</f>
        <v>1163796.4099999999</v>
      </c>
      <c r="AC1405" s="18"/>
      <c r="AD1405" s="18">
        <v>2025</v>
      </c>
      <c r="AE1405" s="18">
        <v>2025</v>
      </c>
      <c r="AF1405" s="25"/>
      <c r="AG1405" s="91"/>
    </row>
    <row r="1406" spans="1:34" s="26" customFormat="1" ht="24" customHeight="1">
      <c r="A1406" s="18">
        <f>A1405+1</f>
        <v>299</v>
      </c>
      <c r="B1406" s="66" t="s">
        <v>994</v>
      </c>
      <c r="C1406" s="4">
        <f>D1406+F1406+G1406+H1406+I1406+K1406+L1406+M1406+O1406+P1406+Q1406+R1406+S1406+W1406+V1406+X1406</f>
        <v>7661038.6600000001</v>
      </c>
      <c r="D1406" s="9"/>
      <c r="E1406" s="36"/>
      <c r="F1406" s="9"/>
      <c r="G1406" s="12"/>
      <c r="H1406" s="13"/>
      <c r="I1406" s="13"/>
      <c r="J1406" s="21"/>
      <c r="K1406" s="9"/>
      <c r="L1406" s="12"/>
      <c r="M1406" s="22"/>
      <c r="N1406" s="807"/>
      <c r="O1406" s="12"/>
      <c r="P1406" s="3">
        <f>1790.7*3855.19</f>
        <v>6903488.7300000004</v>
      </c>
      <c r="Q1406" s="9"/>
      <c r="R1406" s="21"/>
      <c r="S1406" s="13"/>
      <c r="T1406" s="110"/>
      <c r="U1406" s="110"/>
      <c r="V1406" s="5">
        <v>653997.6</v>
      </c>
      <c r="W1406" s="24">
        <f>(D1406+F1406+G1406+H1406+I1406+K1406+L1406+M1406+O1406+P1406+Q1406+R1406+S1406)*1.5%</f>
        <v>103552.33</v>
      </c>
      <c r="X1406" s="21"/>
      <c r="Y1406" s="21"/>
      <c r="Z1406" s="21"/>
      <c r="AA1406" s="21"/>
      <c r="AB1406" s="24">
        <f>C1406</f>
        <v>7661038.6600000001</v>
      </c>
      <c r="AC1406" s="18"/>
      <c r="AD1406" s="18">
        <v>2025</v>
      </c>
      <c r="AE1406" s="18">
        <v>2025</v>
      </c>
      <c r="AF1406" s="25"/>
      <c r="AG1406" s="91"/>
    </row>
    <row r="1407" spans="1:34" s="148" customFormat="1" ht="24" customHeight="1">
      <c r="A1407" s="883" t="s">
        <v>262</v>
      </c>
      <c r="B1407" s="883"/>
      <c r="C1407" s="16">
        <f>SUM(C1405:C1406)</f>
        <v>8824835.0700000003</v>
      </c>
      <c r="D1407" s="16">
        <f t="shared" ref="D1407:AB1407" si="651">SUM(D1405:D1406)</f>
        <v>837938.53</v>
      </c>
      <c r="E1407" s="16">
        <f t="shared" si="651"/>
        <v>0</v>
      </c>
      <c r="F1407" s="16">
        <f t="shared" si="651"/>
        <v>0</v>
      </c>
      <c r="G1407" s="6">
        <f t="shared" si="651"/>
        <v>0</v>
      </c>
      <c r="H1407" s="16">
        <f t="shared" si="651"/>
        <v>0</v>
      </c>
      <c r="I1407" s="16">
        <f t="shared" si="651"/>
        <v>0</v>
      </c>
      <c r="J1407" s="16">
        <f t="shared" si="651"/>
        <v>0</v>
      </c>
      <c r="K1407" s="16">
        <f t="shared" si="651"/>
        <v>0</v>
      </c>
      <c r="L1407" s="16">
        <f t="shared" si="651"/>
        <v>0</v>
      </c>
      <c r="M1407" s="16">
        <f t="shared" si="651"/>
        <v>0</v>
      </c>
      <c r="N1407" s="16">
        <f t="shared" si="651"/>
        <v>0</v>
      </c>
      <c r="O1407" s="16">
        <f t="shared" si="651"/>
        <v>0</v>
      </c>
      <c r="P1407" s="16">
        <f t="shared" si="651"/>
        <v>6903488.7300000004</v>
      </c>
      <c r="Q1407" s="16">
        <f t="shared" si="651"/>
        <v>0</v>
      </c>
      <c r="R1407" s="16">
        <f t="shared" si="651"/>
        <v>0</v>
      </c>
      <c r="S1407" s="16">
        <f t="shared" si="651"/>
        <v>0</v>
      </c>
      <c r="T1407" s="141"/>
      <c r="U1407" s="141"/>
      <c r="V1407" s="16">
        <f t="shared" si="651"/>
        <v>967286.4</v>
      </c>
      <c r="W1407" s="16">
        <f t="shared" si="651"/>
        <v>116121.41</v>
      </c>
      <c r="X1407" s="16">
        <f t="shared" si="651"/>
        <v>0</v>
      </c>
      <c r="Y1407" s="16">
        <f t="shared" si="651"/>
        <v>0</v>
      </c>
      <c r="Z1407" s="16">
        <f t="shared" si="651"/>
        <v>0</v>
      </c>
      <c r="AA1407" s="16">
        <f t="shared" si="651"/>
        <v>0</v>
      </c>
      <c r="AB1407" s="16">
        <f t="shared" si="651"/>
        <v>8824835.0700000003</v>
      </c>
      <c r="AC1407" s="798"/>
      <c r="AD1407" s="798" t="s">
        <v>29</v>
      </c>
      <c r="AE1407" s="798" t="s">
        <v>29</v>
      </c>
      <c r="AF1407" s="146"/>
      <c r="AG1407" s="147"/>
    </row>
    <row r="1408" spans="1:34" ht="24" customHeight="1">
      <c r="A1408" s="888" t="s">
        <v>372</v>
      </c>
      <c r="B1408" s="888"/>
      <c r="C1408" s="888"/>
      <c r="D1408" s="888"/>
      <c r="E1408" s="888"/>
      <c r="F1408" s="888"/>
      <c r="G1408" s="888"/>
      <c r="H1408" s="888"/>
      <c r="I1408" s="888"/>
      <c r="J1408" s="888"/>
      <c r="K1408" s="888"/>
      <c r="L1408" s="888"/>
      <c r="M1408" s="888"/>
      <c r="N1408" s="888"/>
      <c r="O1408" s="888"/>
      <c r="P1408" s="888"/>
      <c r="Q1408" s="888"/>
      <c r="R1408" s="888"/>
      <c r="S1408" s="888"/>
      <c r="T1408" s="889"/>
      <c r="U1408" s="889"/>
      <c r="V1408" s="888"/>
      <c r="W1408" s="888"/>
      <c r="X1408" s="888"/>
      <c r="Y1408" s="888"/>
      <c r="Z1408" s="888"/>
      <c r="AA1408" s="888"/>
      <c r="AB1408" s="888"/>
      <c r="AC1408" s="888"/>
      <c r="AD1408" s="888"/>
      <c r="AE1408" s="888"/>
      <c r="AF1408" s="808"/>
      <c r="AG1408" s="806"/>
    </row>
    <row r="1409" spans="1:33" ht="24" customHeight="1">
      <c r="A1409" s="319">
        <f>A1406+1</f>
        <v>300</v>
      </c>
      <c r="B1409" s="328" t="s">
        <v>880</v>
      </c>
      <c r="C1409" s="546">
        <f t="shared" ref="C1409:C1415" si="652">D1409+F1409+G1409+H1409+I1409+K1409+L1409+M1409+O1409+P1409+Q1409+R1409+S1409+W1409+V1409+X1409</f>
        <v>1861001.14</v>
      </c>
      <c r="D1409" s="347"/>
      <c r="E1409" s="552">
        <v>1</v>
      </c>
      <c r="F1409" s="347">
        <v>1612809</v>
      </c>
      <c r="G1409" s="542"/>
      <c r="H1409" s="347"/>
      <c r="I1409" s="347"/>
      <c r="J1409" s="347"/>
      <c r="K1409" s="347"/>
      <c r="L1409" s="542"/>
      <c r="M1409" s="542"/>
      <c r="N1409" s="542"/>
      <c r="O1409" s="542"/>
      <c r="P1409" s="347"/>
      <c r="Q1409" s="347"/>
      <c r="R1409" s="347"/>
      <c r="S1409" s="347"/>
      <c r="T1409" s="347"/>
      <c r="U1409" s="347"/>
      <c r="V1409" s="543">
        <v>224000</v>
      </c>
      <c r="W1409" s="339">
        <v>24192.14</v>
      </c>
      <c r="X1409" s="347"/>
      <c r="Y1409" s="347"/>
      <c r="Z1409" s="347"/>
      <c r="AA1409" s="347"/>
      <c r="AB1409" s="347">
        <f t="shared" ref="AB1409:AB1415" si="653">C1409</f>
        <v>1861001.14</v>
      </c>
      <c r="AC1409" s="802"/>
      <c r="AD1409" s="319">
        <v>2025</v>
      </c>
      <c r="AE1409" s="319">
        <v>2025</v>
      </c>
      <c r="AF1409" s="441"/>
      <c r="AG1409" s="441"/>
    </row>
    <row r="1410" spans="1:33" ht="24" customHeight="1">
      <c r="A1410" s="319">
        <f>A1409+1</f>
        <v>301</v>
      </c>
      <c r="B1410" s="328" t="s">
        <v>995</v>
      </c>
      <c r="C1410" s="546">
        <f t="shared" si="652"/>
        <v>1861001.14</v>
      </c>
      <c r="D1410" s="347"/>
      <c r="E1410" s="552">
        <v>1</v>
      </c>
      <c r="F1410" s="347">
        <v>1612809</v>
      </c>
      <c r="G1410" s="542"/>
      <c r="H1410" s="347"/>
      <c r="I1410" s="347"/>
      <c r="J1410" s="347"/>
      <c r="K1410" s="347"/>
      <c r="L1410" s="542"/>
      <c r="M1410" s="542"/>
      <c r="N1410" s="542"/>
      <c r="O1410" s="542"/>
      <c r="P1410" s="347"/>
      <c r="Q1410" s="347"/>
      <c r="R1410" s="347"/>
      <c r="S1410" s="347"/>
      <c r="T1410" s="347"/>
      <c r="U1410" s="347"/>
      <c r="V1410" s="543">
        <v>224000</v>
      </c>
      <c r="W1410" s="339">
        <v>24192.14</v>
      </c>
      <c r="X1410" s="347"/>
      <c r="Y1410" s="347"/>
      <c r="Z1410" s="347"/>
      <c r="AA1410" s="347"/>
      <c r="AB1410" s="347">
        <f t="shared" si="653"/>
        <v>1861001.14</v>
      </c>
      <c r="AC1410" s="802"/>
      <c r="AD1410" s="319">
        <v>2025</v>
      </c>
      <c r="AE1410" s="319">
        <v>2025</v>
      </c>
      <c r="AF1410" s="441"/>
      <c r="AG1410" s="441"/>
    </row>
    <row r="1411" spans="1:33" ht="24" customHeight="1">
      <c r="A1411" s="319">
        <f t="shared" ref="A1411:A1452" si="654">A1410+1</f>
        <v>302</v>
      </c>
      <c r="B1411" s="328" t="s">
        <v>996</v>
      </c>
      <c r="C1411" s="546">
        <f t="shared" si="652"/>
        <v>1861001.14</v>
      </c>
      <c r="D1411" s="347"/>
      <c r="E1411" s="552">
        <v>1</v>
      </c>
      <c r="F1411" s="347">
        <v>1612809</v>
      </c>
      <c r="G1411" s="542"/>
      <c r="H1411" s="347"/>
      <c r="I1411" s="347"/>
      <c r="J1411" s="347"/>
      <c r="K1411" s="347"/>
      <c r="L1411" s="542"/>
      <c r="M1411" s="542"/>
      <c r="N1411" s="542"/>
      <c r="O1411" s="542"/>
      <c r="P1411" s="347"/>
      <c r="Q1411" s="347"/>
      <c r="R1411" s="347"/>
      <c r="S1411" s="347"/>
      <c r="T1411" s="347"/>
      <c r="U1411" s="347"/>
      <c r="V1411" s="543">
        <v>224000</v>
      </c>
      <c r="W1411" s="339">
        <v>24192.14</v>
      </c>
      <c r="X1411" s="347"/>
      <c r="Y1411" s="347"/>
      <c r="Z1411" s="347"/>
      <c r="AA1411" s="347"/>
      <c r="AB1411" s="347">
        <f t="shared" si="653"/>
        <v>1861001.14</v>
      </c>
      <c r="AC1411" s="802"/>
      <c r="AD1411" s="319">
        <v>2025</v>
      </c>
      <c r="AE1411" s="319">
        <v>2025</v>
      </c>
      <c r="AF1411" s="441"/>
      <c r="AG1411" s="441"/>
    </row>
    <row r="1412" spans="1:33" ht="24" customHeight="1">
      <c r="A1412" s="319">
        <f t="shared" si="654"/>
        <v>303</v>
      </c>
      <c r="B1412" s="328" t="s">
        <v>997</v>
      </c>
      <c r="C1412" s="546">
        <f t="shared" si="652"/>
        <v>1861001.14</v>
      </c>
      <c r="D1412" s="347"/>
      <c r="E1412" s="552">
        <v>1</v>
      </c>
      <c r="F1412" s="347">
        <v>1612809</v>
      </c>
      <c r="G1412" s="542"/>
      <c r="H1412" s="347"/>
      <c r="I1412" s="347"/>
      <c r="J1412" s="347"/>
      <c r="K1412" s="347"/>
      <c r="L1412" s="542"/>
      <c r="M1412" s="542"/>
      <c r="N1412" s="542"/>
      <c r="O1412" s="542"/>
      <c r="P1412" s="347"/>
      <c r="Q1412" s="347"/>
      <c r="R1412" s="347"/>
      <c r="S1412" s="347"/>
      <c r="T1412" s="347"/>
      <c r="U1412" s="347"/>
      <c r="V1412" s="543">
        <v>224000</v>
      </c>
      <c r="W1412" s="339">
        <v>24192.14</v>
      </c>
      <c r="X1412" s="347"/>
      <c r="Y1412" s="347"/>
      <c r="Z1412" s="347"/>
      <c r="AA1412" s="347"/>
      <c r="AB1412" s="347">
        <f t="shared" si="653"/>
        <v>1861001.14</v>
      </c>
      <c r="AC1412" s="802"/>
      <c r="AD1412" s="319">
        <v>2025</v>
      </c>
      <c r="AE1412" s="319">
        <v>2025</v>
      </c>
      <c r="AF1412" s="441"/>
      <c r="AG1412" s="441"/>
    </row>
    <row r="1413" spans="1:33" ht="24" customHeight="1">
      <c r="A1413" s="319">
        <f t="shared" si="654"/>
        <v>304</v>
      </c>
      <c r="B1413" s="632" t="s">
        <v>241</v>
      </c>
      <c r="C1413" s="630">
        <f t="shared" si="652"/>
        <v>20686767.57</v>
      </c>
      <c r="D1413" s="589"/>
      <c r="E1413" s="589"/>
      <c r="F1413" s="589"/>
      <c r="G1413" s="588"/>
      <c r="H1413" s="589"/>
      <c r="I1413" s="589"/>
      <c r="J1413" s="589"/>
      <c r="K1413" s="589"/>
      <c r="L1413" s="588"/>
      <c r="M1413" s="588"/>
      <c r="N1413" s="588"/>
      <c r="O1413" s="588"/>
      <c r="P1413" s="588">
        <v>19424194.899999999</v>
      </c>
      <c r="Q1413" s="588"/>
      <c r="R1413" s="589"/>
      <c r="S1413" s="589"/>
      <c r="T1413" s="589"/>
      <c r="U1413" s="589"/>
      <c r="V1413" s="590">
        <v>971209.75</v>
      </c>
      <c r="W1413" s="584">
        <v>291362.92</v>
      </c>
      <c r="X1413" s="589"/>
      <c r="Y1413" s="589"/>
      <c r="Z1413" s="589"/>
      <c r="AA1413" s="589"/>
      <c r="AB1413" s="589">
        <f t="shared" si="653"/>
        <v>20686767.57</v>
      </c>
      <c r="AC1413" s="803"/>
      <c r="AD1413" s="585">
        <v>2025</v>
      </c>
      <c r="AE1413" s="585">
        <v>2026</v>
      </c>
      <c r="AF1413" s="571"/>
      <c r="AG1413" s="571"/>
    </row>
    <row r="1414" spans="1:33" ht="24" customHeight="1">
      <c r="A1414" s="319">
        <f t="shared" si="654"/>
        <v>305</v>
      </c>
      <c r="B1414" s="632" t="s">
        <v>1082</v>
      </c>
      <c r="C1414" s="587">
        <f t="shared" si="652"/>
        <v>1861001.14</v>
      </c>
      <c r="D1414" s="580"/>
      <c r="E1414" s="640">
        <v>1</v>
      </c>
      <c r="F1414" s="589">
        <v>1612809</v>
      </c>
      <c r="G1414" s="588"/>
      <c r="H1414" s="589"/>
      <c r="I1414" s="589"/>
      <c r="J1414" s="589"/>
      <c r="K1414" s="589"/>
      <c r="L1414" s="588"/>
      <c r="M1414" s="588"/>
      <c r="N1414" s="588"/>
      <c r="O1414" s="588"/>
      <c r="P1414" s="589"/>
      <c r="Q1414" s="589"/>
      <c r="R1414" s="589"/>
      <c r="S1414" s="589"/>
      <c r="T1414" s="589"/>
      <c r="U1414" s="589"/>
      <c r="V1414" s="590">
        <v>224000</v>
      </c>
      <c r="W1414" s="584">
        <v>24192.14</v>
      </c>
      <c r="X1414" s="589"/>
      <c r="Y1414" s="581"/>
      <c r="Z1414" s="581"/>
      <c r="AA1414" s="581"/>
      <c r="AB1414" s="584">
        <f t="shared" si="653"/>
        <v>1861001.14</v>
      </c>
      <c r="AC1414" s="585"/>
      <c r="AD1414" s="585">
        <v>2025</v>
      </c>
      <c r="AE1414" s="585">
        <v>2026</v>
      </c>
      <c r="AF1414" s="571"/>
      <c r="AG1414" s="571"/>
    </row>
    <row r="1415" spans="1:33" ht="24" customHeight="1">
      <c r="A1415" s="319">
        <f t="shared" si="654"/>
        <v>306</v>
      </c>
      <c r="B1415" s="632" t="s">
        <v>242</v>
      </c>
      <c r="C1415" s="630">
        <f t="shared" si="652"/>
        <v>9325667.1400000006</v>
      </c>
      <c r="D1415" s="589"/>
      <c r="E1415" s="640"/>
      <c r="F1415" s="589"/>
      <c r="G1415" s="588"/>
      <c r="H1415" s="589"/>
      <c r="I1415" s="589"/>
      <c r="J1415" s="589"/>
      <c r="K1415" s="589"/>
      <c r="L1415" s="588"/>
      <c r="M1415" s="588"/>
      <c r="N1415" s="588"/>
      <c r="O1415" s="588"/>
      <c r="P1415" s="588">
        <v>8756494.9700000007</v>
      </c>
      <c r="Q1415" s="588"/>
      <c r="R1415" s="589"/>
      <c r="S1415" s="589"/>
      <c r="T1415" s="589"/>
      <c r="U1415" s="589"/>
      <c r="V1415" s="590">
        <v>437824.75</v>
      </c>
      <c r="W1415" s="584">
        <v>131347.42000000001</v>
      </c>
      <c r="X1415" s="589"/>
      <c r="Y1415" s="589"/>
      <c r="Z1415" s="589"/>
      <c r="AA1415" s="589"/>
      <c r="AB1415" s="584">
        <f t="shared" si="653"/>
        <v>9325667.1400000006</v>
      </c>
      <c r="AC1415" s="803"/>
      <c r="AD1415" s="585">
        <v>2025</v>
      </c>
      <c r="AE1415" s="585">
        <v>2026</v>
      </c>
      <c r="AF1415" s="571"/>
      <c r="AG1415" s="571"/>
    </row>
    <row r="1416" spans="1:33" ht="24" customHeight="1">
      <c r="A1416" s="319">
        <f t="shared" si="654"/>
        <v>307</v>
      </c>
      <c r="B1416" s="632" t="s">
        <v>1083</v>
      </c>
      <c r="C1416" s="587">
        <f t="shared" ref="C1416:C1424" si="655">D1416+F1416+G1416+H1416+I1416+K1416+L1416+M1416+O1416+P1416+Q1416+R1416+S1416+U1416+W1416+V1416+X1416</f>
        <v>2951477.1</v>
      </c>
      <c r="D1416" s="580"/>
      <c r="E1416" s="620"/>
      <c r="F1416" s="581"/>
      <c r="G1416" s="578"/>
      <c r="H1416" s="582"/>
      <c r="I1416" s="582"/>
      <c r="J1416" s="581">
        <v>1</v>
      </c>
      <c r="K1416" s="597">
        <v>2771340</v>
      </c>
      <c r="L1416" s="579"/>
      <c r="M1416" s="579"/>
      <c r="N1416" s="579"/>
      <c r="O1416" s="579"/>
      <c r="P1416" s="580"/>
      <c r="Q1416" s="608"/>
      <c r="R1416" s="608"/>
      <c r="S1416" s="608"/>
      <c r="T1416" s="608"/>
      <c r="U1416" s="608"/>
      <c r="V1416" s="609">
        <v>138567</v>
      </c>
      <c r="W1416" s="580">
        <f t="shared" ref="W1416:W1417" si="656">ROUND((D1416+F1416+G1416+H1416+I1416+K1416+L1416+M1416+O1416+P1416+Q1416+R1416+S1416)*1.5%,2)</f>
        <v>41570.1</v>
      </c>
      <c r="X1416" s="610"/>
      <c r="Y1416" s="610"/>
      <c r="Z1416" s="610"/>
      <c r="AA1416" s="610"/>
      <c r="AB1416" s="584">
        <f>C1416</f>
        <v>2951477.1</v>
      </c>
      <c r="AC1416" s="585"/>
      <c r="AD1416" s="585">
        <v>2025</v>
      </c>
      <c r="AE1416" s="585">
        <v>2026</v>
      </c>
      <c r="AF1416" s="571"/>
      <c r="AG1416" s="571"/>
    </row>
    <row r="1417" spans="1:33" ht="24" customHeight="1">
      <c r="A1417" s="319">
        <f t="shared" si="654"/>
        <v>308</v>
      </c>
      <c r="B1417" s="632" t="s">
        <v>1084</v>
      </c>
      <c r="C1417" s="587">
        <f t="shared" si="655"/>
        <v>2951477.1</v>
      </c>
      <c r="D1417" s="580"/>
      <c r="E1417" s="620"/>
      <c r="F1417" s="581"/>
      <c r="G1417" s="578"/>
      <c r="H1417" s="582"/>
      <c r="I1417" s="582"/>
      <c r="J1417" s="581">
        <v>1</v>
      </c>
      <c r="K1417" s="597">
        <v>2771340</v>
      </c>
      <c r="L1417" s="579"/>
      <c r="M1417" s="579"/>
      <c r="N1417" s="579"/>
      <c r="O1417" s="579"/>
      <c r="P1417" s="580"/>
      <c r="Q1417" s="608"/>
      <c r="R1417" s="608"/>
      <c r="S1417" s="608"/>
      <c r="T1417" s="608"/>
      <c r="U1417" s="608"/>
      <c r="V1417" s="609">
        <v>138567</v>
      </c>
      <c r="W1417" s="580">
        <f t="shared" si="656"/>
        <v>41570.1</v>
      </c>
      <c r="X1417" s="610"/>
      <c r="Y1417" s="610"/>
      <c r="Z1417" s="610"/>
      <c r="AA1417" s="610"/>
      <c r="AB1417" s="584">
        <f>C1417</f>
        <v>2951477.1</v>
      </c>
      <c r="AC1417" s="585"/>
      <c r="AD1417" s="585">
        <v>2025</v>
      </c>
      <c r="AE1417" s="585">
        <v>2026</v>
      </c>
      <c r="AF1417" s="571"/>
      <c r="AG1417" s="571"/>
    </row>
    <row r="1418" spans="1:33" ht="24" customHeight="1">
      <c r="A1418" s="319">
        <f t="shared" si="654"/>
        <v>309</v>
      </c>
      <c r="B1418" s="632" t="s">
        <v>1085</v>
      </c>
      <c r="C1418" s="587">
        <f t="shared" si="655"/>
        <v>1861001.14</v>
      </c>
      <c r="D1418" s="580"/>
      <c r="E1418" s="640">
        <v>1</v>
      </c>
      <c r="F1418" s="589">
        <v>1612809</v>
      </c>
      <c r="G1418" s="588"/>
      <c r="H1418" s="589"/>
      <c r="I1418" s="589"/>
      <c r="J1418" s="589"/>
      <c r="K1418" s="589"/>
      <c r="L1418" s="588"/>
      <c r="M1418" s="588"/>
      <c r="N1418" s="588"/>
      <c r="O1418" s="588"/>
      <c r="P1418" s="589"/>
      <c r="Q1418" s="589"/>
      <c r="R1418" s="589"/>
      <c r="S1418" s="589"/>
      <c r="T1418" s="589"/>
      <c r="U1418" s="589"/>
      <c r="V1418" s="590">
        <v>224000</v>
      </c>
      <c r="W1418" s="584">
        <v>24192.14</v>
      </c>
      <c r="X1418" s="589"/>
      <c r="Y1418" s="581"/>
      <c r="Z1418" s="581"/>
      <c r="AA1418" s="581"/>
      <c r="AB1418" s="584">
        <f t="shared" ref="AB1418:AB1421" si="657">C1418</f>
        <v>1861001.14</v>
      </c>
      <c r="AC1418" s="585"/>
      <c r="AD1418" s="585">
        <v>2025</v>
      </c>
      <c r="AE1418" s="585">
        <v>2026</v>
      </c>
      <c r="AF1418" s="571"/>
      <c r="AG1418" s="571"/>
    </row>
    <row r="1419" spans="1:33" ht="24" customHeight="1">
      <c r="A1419" s="319">
        <f t="shared" si="654"/>
        <v>310</v>
      </c>
      <c r="B1419" s="632" t="s">
        <v>1086</v>
      </c>
      <c r="C1419" s="587">
        <f t="shared" si="655"/>
        <v>1861001.14</v>
      </c>
      <c r="D1419" s="580"/>
      <c r="E1419" s="640">
        <v>1</v>
      </c>
      <c r="F1419" s="589">
        <v>1612809</v>
      </c>
      <c r="G1419" s="588"/>
      <c r="H1419" s="589"/>
      <c r="I1419" s="589"/>
      <c r="J1419" s="589"/>
      <c r="K1419" s="589"/>
      <c r="L1419" s="588"/>
      <c r="M1419" s="588"/>
      <c r="N1419" s="588"/>
      <c r="O1419" s="588"/>
      <c r="P1419" s="589"/>
      <c r="Q1419" s="589"/>
      <c r="R1419" s="589"/>
      <c r="S1419" s="589"/>
      <c r="T1419" s="589"/>
      <c r="U1419" s="589"/>
      <c r="V1419" s="590">
        <v>224000</v>
      </c>
      <c r="W1419" s="584">
        <v>24192.14</v>
      </c>
      <c r="X1419" s="589"/>
      <c r="Y1419" s="581"/>
      <c r="Z1419" s="581"/>
      <c r="AA1419" s="581"/>
      <c r="AB1419" s="584">
        <f t="shared" si="657"/>
        <v>1861001.14</v>
      </c>
      <c r="AC1419" s="585"/>
      <c r="AD1419" s="585">
        <v>2025</v>
      </c>
      <c r="AE1419" s="585">
        <v>2026</v>
      </c>
      <c r="AF1419" s="571"/>
      <c r="AG1419" s="571"/>
    </row>
    <row r="1420" spans="1:33" ht="24" customHeight="1">
      <c r="A1420" s="319">
        <f t="shared" si="654"/>
        <v>311</v>
      </c>
      <c r="B1420" s="632" t="s">
        <v>1087</v>
      </c>
      <c r="C1420" s="587">
        <f t="shared" si="655"/>
        <v>1861001.14</v>
      </c>
      <c r="D1420" s="580"/>
      <c r="E1420" s="640">
        <v>1</v>
      </c>
      <c r="F1420" s="589">
        <v>1612809</v>
      </c>
      <c r="G1420" s="588"/>
      <c r="H1420" s="589"/>
      <c r="I1420" s="589"/>
      <c r="J1420" s="589"/>
      <c r="K1420" s="589"/>
      <c r="L1420" s="588"/>
      <c r="M1420" s="588"/>
      <c r="N1420" s="588"/>
      <c r="O1420" s="588"/>
      <c r="P1420" s="589"/>
      <c r="Q1420" s="589"/>
      <c r="R1420" s="589"/>
      <c r="S1420" s="589"/>
      <c r="T1420" s="589"/>
      <c r="U1420" s="589"/>
      <c r="V1420" s="590">
        <v>224000</v>
      </c>
      <c r="W1420" s="584">
        <v>24192.14</v>
      </c>
      <c r="X1420" s="589"/>
      <c r="Y1420" s="581"/>
      <c r="Z1420" s="581"/>
      <c r="AA1420" s="581"/>
      <c r="AB1420" s="584">
        <f t="shared" si="657"/>
        <v>1861001.14</v>
      </c>
      <c r="AC1420" s="585"/>
      <c r="AD1420" s="585">
        <v>2025</v>
      </c>
      <c r="AE1420" s="585">
        <v>2026</v>
      </c>
      <c r="AF1420" s="571"/>
      <c r="AG1420" s="571"/>
    </row>
    <row r="1421" spans="1:33" ht="24" customHeight="1">
      <c r="A1421" s="319">
        <f t="shared" si="654"/>
        <v>312</v>
      </c>
      <c r="B1421" s="632" t="s">
        <v>1088</v>
      </c>
      <c r="C1421" s="587">
        <f t="shared" si="655"/>
        <v>1861001.14</v>
      </c>
      <c r="D1421" s="580"/>
      <c r="E1421" s="640">
        <v>1</v>
      </c>
      <c r="F1421" s="589">
        <v>1612809</v>
      </c>
      <c r="G1421" s="588"/>
      <c r="H1421" s="589"/>
      <c r="I1421" s="589"/>
      <c r="J1421" s="589"/>
      <c r="K1421" s="589"/>
      <c r="L1421" s="588"/>
      <c r="M1421" s="588"/>
      <c r="N1421" s="588"/>
      <c r="O1421" s="588"/>
      <c r="P1421" s="589"/>
      <c r="Q1421" s="589"/>
      <c r="R1421" s="589"/>
      <c r="S1421" s="589"/>
      <c r="T1421" s="589"/>
      <c r="U1421" s="589"/>
      <c r="V1421" s="590">
        <v>224000</v>
      </c>
      <c r="W1421" s="584">
        <v>24192.14</v>
      </c>
      <c r="X1421" s="589"/>
      <c r="Y1421" s="581"/>
      <c r="Z1421" s="581"/>
      <c r="AA1421" s="581"/>
      <c r="AB1421" s="584">
        <f t="shared" si="657"/>
        <v>1861001.14</v>
      </c>
      <c r="AC1421" s="585"/>
      <c r="AD1421" s="585">
        <v>2025</v>
      </c>
      <c r="AE1421" s="585">
        <v>2026</v>
      </c>
      <c r="AF1421" s="571"/>
      <c r="AG1421" s="571"/>
    </row>
    <row r="1422" spans="1:33" ht="24" customHeight="1">
      <c r="A1422" s="319">
        <f t="shared" si="654"/>
        <v>313</v>
      </c>
      <c r="B1422" s="632" t="s">
        <v>1089</v>
      </c>
      <c r="C1422" s="587">
        <f t="shared" si="655"/>
        <v>2951477.1</v>
      </c>
      <c r="D1422" s="580"/>
      <c r="E1422" s="620"/>
      <c r="F1422" s="581"/>
      <c r="G1422" s="578"/>
      <c r="H1422" s="582"/>
      <c r="I1422" s="582"/>
      <c r="J1422" s="581">
        <v>1</v>
      </c>
      <c r="K1422" s="597">
        <v>2771340</v>
      </c>
      <c r="L1422" s="579"/>
      <c r="M1422" s="579"/>
      <c r="N1422" s="579"/>
      <c r="O1422" s="579"/>
      <c r="P1422" s="580"/>
      <c r="Q1422" s="608"/>
      <c r="R1422" s="608"/>
      <c r="S1422" s="608"/>
      <c r="T1422" s="608"/>
      <c r="U1422" s="608"/>
      <c r="V1422" s="609">
        <v>138567</v>
      </c>
      <c r="W1422" s="580">
        <f t="shared" ref="W1422" si="658">ROUND((D1422+F1422+G1422+H1422+I1422+K1422+L1422+M1422+O1422+P1422+Q1422+R1422+S1422)*1.5%,2)</f>
        <v>41570.1</v>
      </c>
      <c r="X1422" s="610"/>
      <c r="Y1422" s="610"/>
      <c r="Z1422" s="610"/>
      <c r="AA1422" s="610"/>
      <c r="AB1422" s="584">
        <f>C1422</f>
        <v>2951477.1</v>
      </c>
      <c r="AC1422" s="585"/>
      <c r="AD1422" s="585">
        <v>2025</v>
      </c>
      <c r="AE1422" s="585">
        <v>2026</v>
      </c>
      <c r="AF1422" s="571"/>
      <c r="AG1422" s="571"/>
    </row>
    <row r="1423" spans="1:33" ht="24" customHeight="1">
      <c r="A1423" s="319">
        <f t="shared" si="654"/>
        <v>314</v>
      </c>
      <c r="B1423" s="632" t="s">
        <v>1090</v>
      </c>
      <c r="C1423" s="587">
        <f t="shared" si="655"/>
        <v>1861001.14</v>
      </c>
      <c r="D1423" s="580"/>
      <c r="E1423" s="640">
        <v>1</v>
      </c>
      <c r="F1423" s="589">
        <v>1612809</v>
      </c>
      <c r="G1423" s="588"/>
      <c r="H1423" s="589"/>
      <c r="I1423" s="589"/>
      <c r="J1423" s="589"/>
      <c r="K1423" s="589"/>
      <c r="L1423" s="588"/>
      <c r="M1423" s="588"/>
      <c r="N1423" s="588"/>
      <c r="O1423" s="588"/>
      <c r="P1423" s="589"/>
      <c r="Q1423" s="589"/>
      <c r="R1423" s="589"/>
      <c r="S1423" s="589"/>
      <c r="T1423" s="589"/>
      <c r="U1423" s="589"/>
      <c r="V1423" s="590">
        <v>224000</v>
      </c>
      <c r="W1423" s="584">
        <v>24192.14</v>
      </c>
      <c r="X1423" s="589"/>
      <c r="Y1423" s="581"/>
      <c r="Z1423" s="581"/>
      <c r="AA1423" s="581"/>
      <c r="AB1423" s="584">
        <f t="shared" ref="AB1423:AB1424" si="659">C1423</f>
        <v>1861001.14</v>
      </c>
      <c r="AC1423" s="585"/>
      <c r="AD1423" s="585">
        <v>2025</v>
      </c>
      <c r="AE1423" s="585">
        <v>2026</v>
      </c>
      <c r="AF1423" s="571"/>
      <c r="AG1423" s="571"/>
    </row>
    <row r="1424" spans="1:33" ht="24" customHeight="1">
      <c r="A1424" s="319">
        <f t="shared" si="654"/>
        <v>315</v>
      </c>
      <c r="B1424" s="632" t="s">
        <v>1091</v>
      </c>
      <c r="C1424" s="418">
        <f t="shared" si="655"/>
        <v>3722002.28</v>
      </c>
      <c r="D1424" s="428"/>
      <c r="E1424" s="554">
        <v>2</v>
      </c>
      <c r="F1424" s="496">
        <f>1612809*E1424</f>
        <v>3225618</v>
      </c>
      <c r="G1424" s="575"/>
      <c r="H1424" s="496"/>
      <c r="I1424" s="496"/>
      <c r="J1424" s="496"/>
      <c r="K1424" s="496"/>
      <c r="L1424" s="575"/>
      <c r="M1424" s="575"/>
      <c r="N1424" s="575"/>
      <c r="O1424" s="575"/>
      <c r="P1424" s="496"/>
      <c r="Q1424" s="496"/>
      <c r="R1424" s="496"/>
      <c r="S1424" s="496"/>
      <c r="T1424" s="496"/>
      <c r="U1424" s="496"/>
      <c r="V1424" s="504">
        <v>448000</v>
      </c>
      <c r="W1424" s="425">
        <v>48384.28</v>
      </c>
      <c r="X1424" s="496"/>
      <c r="Y1424" s="420"/>
      <c r="Z1424" s="420"/>
      <c r="AA1424" s="420"/>
      <c r="AB1424" s="425">
        <f t="shared" si="659"/>
        <v>3722002.28</v>
      </c>
      <c r="AC1424" s="426"/>
      <c r="AD1424" s="426">
        <v>2025</v>
      </c>
      <c r="AE1424" s="426">
        <v>2026</v>
      </c>
      <c r="AF1424" s="644"/>
      <c r="AG1424" s="571"/>
    </row>
    <row r="1425" spans="1:33" s="26" customFormat="1" ht="24" customHeight="1">
      <c r="A1425" s="319">
        <f t="shared" si="654"/>
        <v>316</v>
      </c>
      <c r="B1425" s="235" t="s">
        <v>323</v>
      </c>
      <c r="C1425" s="232">
        <f>D1425+F1425+G1425+H1425+I1425+K1425+L1425+M1425+O1425+P1425+Q1425+R1425+S1425+W1425+V1425+X1425</f>
        <v>22618093.239999998</v>
      </c>
      <c r="D1425" s="228"/>
      <c r="E1425" s="402"/>
      <c r="F1425" s="228"/>
      <c r="G1425" s="182"/>
      <c r="H1425" s="234"/>
      <c r="I1425" s="234"/>
      <c r="J1425" s="229"/>
      <c r="K1425" s="228"/>
      <c r="L1425" s="182"/>
      <c r="M1425" s="185"/>
      <c r="N1425" s="195"/>
      <c r="O1425" s="182"/>
      <c r="P1425" s="182">
        <f>5407.3*3855.19</f>
        <v>20846168.890000001</v>
      </c>
      <c r="Q1425" s="182"/>
      <c r="R1425" s="228"/>
      <c r="S1425" s="228"/>
      <c r="T1425" s="228"/>
      <c r="U1425" s="228"/>
      <c r="V1425" s="268">
        <v>1459231.82</v>
      </c>
      <c r="W1425" s="230">
        <f>ROUND((D1425+F1425+G1425+H1425+I1425+L1425+K1425+M1425+O1425+P1425+Q1425+R1425+S1425)*1.5%,2)</f>
        <v>312692.53000000003</v>
      </c>
      <c r="X1425" s="229"/>
      <c r="Y1425" s="229"/>
      <c r="Z1425" s="229"/>
      <c r="AA1425" s="229"/>
      <c r="AB1425" s="230">
        <f>C1425</f>
        <v>22618093.239999998</v>
      </c>
      <c r="AC1425" s="231"/>
      <c r="AD1425" s="231">
        <v>2025</v>
      </c>
      <c r="AE1425" s="231">
        <v>2025</v>
      </c>
      <c r="AF1425" s="25"/>
      <c r="AG1425" s="91"/>
    </row>
    <row r="1426" spans="1:33" s="26" customFormat="1" ht="24" customHeight="1">
      <c r="A1426" s="319">
        <f t="shared" si="654"/>
        <v>317</v>
      </c>
      <c r="B1426" s="586" t="s">
        <v>320</v>
      </c>
      <c r="C1426" s="587">
        <f t="shared" ref="C1426:C1435" si="660">D1426+F1426+G1426+H1426+I1426+K1426+L1426+M1426+O1426+P1426+Q1426+R1426+S1426+W1426+V1426+X1426</f>
        <v>34750588.149999999</v>
      </c>
      <c r="D1426" s="580">
        <f>5214*660.21</f>
        <v>3442334.94</v>
      </c>
      <c r="E1426" s="640"/>
      <c r="F1426" s="580"/>
      <c r="G1426" s="578">
        <f>5214*620.83</f>
        <v>3237007.62</v>
      </c>
      <c r="H1426" s="582">
        <f>5214*665.62</f>
        <v>3470542.68</v>
      </c>
      <c r="I1426" s="582">
        <f>5214*3201.73</f>
        <v>16693820.220000001</v>
      </c>
      <c r="J1426" s="581">
        <v>1</v>
      </c>
      <c r="K1426" s="597">
        <v>2771340</v>
      </c>
      <c r="L1426" s="578">
        <f>5214*616.25</f>
        <v>3213127.5</v>
      </c>
      <c r="M1426" s="579"/>
      <c r="N1426" s="606"/>
      <c r="O1426" s="578"/>
      <c r="P1426" s="583"/>
      <c r="Q1426" s="603"/>
      <c r="R1426" s="581"/>
      <c r="S1426" s="581"/>
      <c r="T1426" s="581"/>
      <c r="U1426" s="581"/>
      <c r="V1426" s="629">
        <f>1291425.6+138567</f>
        <v>1429992.6</v>
      </c>
      <c r="W1426" s="584">
        <f t="shared" ref="W1426" si="661">ROUND((D1426+F1426+G1426+H1426+I1426+L1426+K1426+M1426+O1426+P1426+Q1426+R1426+S1426)*1.5%,2)</f>
        <v>492422.59</v>
      </c>
      <c r="X1426" s="581"/>
      <c r="Y1426" s="581"/>
      <c r="Z1426" s="581"/>
      <c r="AA1426" s="581"/>
      <c r="AB1426" s="584">
        <f t="shared" ref="AB1426:AB1431" si="662">C1426</f>
        <v>34750588.149999999</v>
      </c>
      <c r="AC1426" s="585"/>
      <c r="AD1426" s="585">
        <v>2025</v>
      </c>
      <c r="AE1426" s="585">
        <v>2026</v>
      </c>
      <c r="AF1426" s="25"/>
      <c r="AG1426" s="91"/>
    </row>
    <row r="1427" spans="1:33" s="26" customFormat="1" ht="24" customHeight="1">
      <c r="A1427" s="319">
        <f t="shared" si="654"/>
        <v>318</v>
      </c>
      <c r="B1427" s="586" t="s">
        <v>1092</v>
      </c>
      <c r="C1427" s="587">
        <f t="shared" ref="C1427:C1430" si="663">D1427+F1427+G1427+H1427+I1427+K1427+L1427+M1427+O1427+P1427+Q1427+R1427+S1427+U1427+W1427+V1427+X1427</f>
        <v>1861001.14</v>
      </c>
      <c r="D1427" s="580"/>
      <c r="E1427" s="640">
        <v>1</v>
      </c>
      <c r="F1427" s="589">
        <v>1612809</v>
      </c>
      <c r="G1427" s="588"/>
      <c r="H1427" s="589"/>
      <c r="I1427" s="589"/>
      <c r="J1427" s="589"/>
      <c r="K1427" s="589"/>
      <c r="L1427" s="588"/>
      <c r="M1427" s="588"/>
      <c r="N1427" s="588"/>
      <c r="O1427" s="588"/>
      <c r="P1427" s="589"/>
      <c r="Q1427" s="589"/>
      <c r="R1427" s="589"/>
      <c r="S1427" s="589"/>
      <c r="T1427" s="589"/>
      <c r="U1427" s="589"/>
      <c r="V1427" s="590">
        <v>224000</v>
      </c>
      <c r="W1427" s="584">
        <v>24192.14</v>
      </c>
      <c r="X1427" s="589"/>
      <c r="Y1427" s="581"/>
      <c r="Z1427" s="581"/>
      <c r="AA1427" s="581"/>
      <c r="AB1427" s="584">
        <f t="shared" si="662"/>
        <v>1861001.14</v>
      </c>
      <c r="AC1427" s="585"/>
      <c r="AD1427" s="585">
        <v>2025</v>
      </c>
      <c r="AE1427" s="585">
        <v>2026</v>
      </c>
      <c r="AF1427" s="25"/>
      <c r="AG1427" s="91"/>
    </row>
    <row r="1428" spans="1:33" s="26" customFormat="1" ht="24" customHeight="1">
      <c r="A1428" s="319">
        <f t="shared" si="654"/>
        <v>319</v>
      </c>
      <c r="B1428" s="586" t="s">
        <v>1093</v>
      </c>
      <c r="C1428" s="587">
        <f t="shared" si="663"/>
        <v>2951477.1</v>
      </c>
      <c r="D1428" s="580"/>
      <c r="E1428" s="620"/>
      <c r="F1428" s="581"/>
      <c r="G1428" s="578"/>
      <c r="H1428" s="582"/>
      <c r="I1428" s="582"/>
      <c r="J1428" s="581">
        <v>1</v>
      </c>
      <c r="K1428" s="597">
        <v>2771340</v>
      </c>
      <c r="L1428" s="579"/>
      <c r="M1428" s="579"/>
      <c r="N1428" s="579"/>
      <c r="O1428" s="579"/>
      <c r="P1428" s="580"/>
      <c r="Q1428" s="608"/>
      <c r="R1428" s="608"/>
      <c r="S1428" s="608"/>
      <c r="T1428" s="608"/>
      <c r="U1428" s="608"/>
      <c r="V1428" s="609">
        <v>138567</v>
      </c>
      <c r="W1428" s="580">
        <f t="shared" ref="W1428" si="664">ROUND((D1428+F1428+G1428+H1428+I1428+K1428+L1428+M1428+O1428+P1428+Q1428+R1428+S1428)*1.5%,2)</f>
        <v>41570.1</v>
      </c>
      <c r="X1428" s="610"/>
      <c r="Y1428" s="610"/>
      <c r="Z1428" s="610"/>
      <c r="AA1428" s="610"/>
      <c r="AB1428" s="584">
        <f>C1428</f>
        <v>2951477.1</v>
      </c>
      <c r="AC1428" s="585"/>
      <c r="AD1428" s="585">
        <v>2025</v>
      </c>
      <c r="AE1428" s="585">
        <v>2026</v>
      </c>
      <c r="AF1428" s="25"/>
      <c r="AG1428" s="91"/>
    </row>
    <row r="1429" spans="1:33" s="26" customFormat="1" ht="24" customHeight="1">
      <c r="A1429" s="18">
        <f t="shared" si="654"/>
        <v>320</v>
      </c>
      <c r="B1429" s="20" t="s">
        <v>1094</v>
      </c>
      <c r="C1429" s="4">
        <f t="shared" si="663"/>
        <v>17059082.129999999</v>
      </c>
      <c r="D1429" s="9"/>
      <c r="E1429" s="401">
        <v>1</v>
      </c>
      <c r="F1429" s="69">
        <v>1612809</v>
      </c>
      <c r="G1429" s="12"/>
      <c r="H1429" s="13"/>
      <c r="I1429" s="13"/>
      <c r="J1429" s="21"/>
      <c r="K1429" s="9"/>
      <c r="L1429" s="12"/>
      <c r="M1429" s="22"/>
      <c r="N1429" s="807"/>
      <c r="O1429" s="12"/>
      <c r="P1429" s="3">
        <v>14270498.58</v>
      </c>
      <c r="Q1429" s="49"/>
      <c r="R1429" s="21"/>
      <c r="S1429" s="21"/>
      <c r="T1429" s="21"/>
      <c r="U1429" s="21"/>
      <c r="V1429" s="5">
        <f>713524.93+224000</f>
        <v>937524.93</v>
      </c>
      <c r="W1429" s="24">
        <f>214057.48+24192.14</f>
        <v>238249.62</v>
      </c>
      <c r="X1429" s="21"/>
      <c r="Y1429" s="21"/>
      <c r="Z1429" s="21"/>
      <c r="AA1429" s="21"/>
      <c r="AB1429" s="24">
        <f>C1429</f>
        <v>17059082.129999999</v>
      </c>
      <c r="AC1429" s="18"/>
      <c r="AD1429" s="18">
        <v>2025</v>
      </c>
      <c r="AE1429" s="18">
        <v>2026</v>
      </c>
      <c r="AF1429" s="25"/>
      <c r="AG1429" s="91"/>
    </row>
    <row r="1430" spans="1:33" s="26" customFormat="1" ht="24" customHeight="1">
      <c r="A1430" s="18">
        <f t="shared" si="654"/>
        <v>321</v>
      </c>
      <c r="B1430" s="586" t="s">
        <v>1095</v>
      </c>
      <c r="C1430" s="587">
        <f t="shared" si="663"/>
        <v>20612018.02</v>
      </c>
      <c r="D1430" s="580"/>
      <c r="E1430" s="640"/>
      <c r="F1430" s="580"/>
      <c r="G1430" s="578"/>
      <c r="H1430" s="582"/>
      <c r="I1430" s="582"/>
      <c r="J1430" s="581"/>
      <c r="K1430" s="580"/>
      <c r="L1430" s="578"/>
      <c r="M1430" s="579"/>
      <c r="N1430" s="606"/>
      <c r="O1430" s="578"/>
      <c r="P1430" s="583">
        <v>19354007.530000001</v>
      </c>
      <c r="Q1430" s="603"/>
      <c r="R1430" s="581"/>
      <c r="S1430" s="581"/>
      <c r="T1430" s="581"/>
      <c r="U1430" s="581"/>
      <c r="V1430" s="629">
        <v>967700.38</v>
      </c>
      <c r="W1430" s="584">
        <v>290310.11</v>
      </c>
      <c r="X1430" s="581"/>
      <c r="Y1430" s="581"/>
      <c r="Z1430" s="581"/>
      <c r="AA1430" s="581"/>
      <c r="AB1430" s="584">
        <f>C1430</f>
        <v>20612018.02</v>
      </c>
      <c r="AC1430" s="585"/>
      <c r="AD1430" s="585">
        <v>2025</v>
      </c>
      <c r="AE1430" s="585">
        <v>2026</v>
      </c>
      <c r="AF1430" s="25"/>
      <c r="AG1430" s="91"/>
    </row>
    <row r="1431" spans="1:33" s="26" customFormat="1" ht="24" customHeight="1">
      <c r="A1431" s="18">
        <f t="shared" si="654"/>
        <v>322</v>
      </c>
      <c r="B1431" s="586" t="s">
        <v>350</v>
      </c>
      <c r="C1431" s="630">
        <f t="shared" si="660"/>
        <v>4812478.24</v>
      </c>
      <c r="D1431" s="589"/>
      <c r="E1431" s="640">
        <v>1</v>
      </c>
      <c r="F1431" s="589">
        <v>1612809</v>
      </c>
      <c r="G1431" s="588"/>
      <c r="H1431" s="589"/>
      <c r="I1431" s="589"/>
      <c r="J1431" s="581">
        <v>1</v>
      </c>
      <c r="K1431" s="597">
        <v>2771340</v>
      </c>
      <c r="L1431" s="579"/>
      <c r="M1431" s="588"/>
      <c r="N1431" s="588"/>
      <c r="O1431" s="588"/>
      <c r="P1431" s="589"/>
      <c r="Q1431" s="589"/>
      <c r="R1431" s="589"/>
      <c r="S1431" s="589"/>
      <c r="T1431" s="589"/>
      <c r="U1431" s="589"/>
      <c r="V1431" s="590">
        <f>224000+138567</f>
        <v>362567</v>
      </c>
      <c r="W1431" s="584">
        <f>24192.14+41570.1</f>
        <v>65762.240000000005</v>
      </c>
      <c r="X1431" s="589"/>
      <c r="Y1431" s="589"/>
      <c r="Z1431" s="589"/>
      <c r="AA1431" s="589"/>
      <c r="AB1431" s="589">
        <f t="shared" si="662"/>
        <v>4812478.24</v>
      </c>
      <c r="AC1431" s="803"/>
      <c r="AD1431" s="585">
        <v>2025</v>
      </c>
      <c r="AE1431" s="585">
        <v>2026</v>
      </c>
      <c r="AF1431" s="25"/>
      <c r="AG1431" s="91"/>
    </row>
    <row r="1432" spans="1:33" s="26" customFormat="1" ht="24" customHeight="1">
      <c r="A1432" s="585">
        <f t="shared" si="654"/>
        <v>323</v>
      </c>
      <c r="B1432" s="632" t="s">
        <v>237</v>
      </c>
      <c r="C1432" s="587">
        <f t="shared" si="660"/>
        <v>48675097.030000001</v>
      </c>
      <c r="D1432" s="580"/>
      <c r="E1432" s="585"/>
      <c r="F1432" s="580"/>
      <c r="G1432" s="578"/>
      <c r="H1432" s="582"/>
      <c r="I1432" s="582">
        <f>2810674.65+8612007.71</f>
        <v>11422682.359999999</v>
      </c>
      <c r="J1432" s="581"/>
      <c r="K1432" s="580"/>
      <c r="L1432" s="578"/>
      <c r="M1432" s="579"/>
      <c r="N1432" s="606"/>
      <c r="O1432" s="578"/>
      <c r="P1432" s="578">
        <v>21683140.600000001</v>
      </c>
      <c r="Q1432" s="578"/>
      <c r="R1432" s="578">
        <v>12856844.939999999</v>
      </c>
      <c r="S1432" s="580"/>
      <c r="T1432" s="580"/>
      <c r="U1432" s="580"/>
      <c r="V1432" s="629">
        <f>196747.23+948566.28+1006855.72</f>
        <v>2152169.23</v>
      </c>
      <c r="W1432" s="584">
        <v>560259.9</v>
      </c>
      <c r="X1432" s="581"/>
      <c r="Y1432" s="584"/>
      <c r="Z1432" s="584"/>
      <c r="AA1432" s="581"/>
      <c r="AB1432" s="584">
        <f>C1432</f>
        <v>48675097.030000001</v>
      </c>
      <c r="AC1432" s="585"/>
      <c r="AD1432" s="585">
        <v>2025</v>
      </c>
      <c r="AE1432" s="585">
        <v>2026</v>
      </c>
      <c r="AF1432" s="25"/>
      <c r="AG1432" s="262" t="s">
        <v>1319</v>
      </c>
    </row>
    <row r="1433" spans="1:33" s="26" customFormat="1" ht="24" customHeight="1">
      <c r="A1433" s="18">
        <f t="shared" si="654"/>
        <v>324</v>
      </c>
      <c r="B1433" s="20" t="s">
        <v>238</v>
      </c>
      <c r="C1433" s="4">
        <f t="shared" si="660"/>
        <v>55687976.609999999</v>
      </c>
      <c r="D1433" s="9"/>
      <c r="E1433" s="36"/>
      <c r="F1433" s="9"/>
      <c r="G1433" s="12"/>
      <c r="H1433" s="13"/>
      <c r="I1433" s="13"/>
      <c r="J1433" s="21">
        <v>1</v>
      </c>
      <c r="K1433" s="416">
        <v>2771340</v>
      </c>
      <c r="L1433" s="12"/>
      <c r="M1433" s="22"/>
      <c r="N1433" s="807"/>
      <c r="O1433" s="12"/>
      <c r="P1433" s="12">
        <v>23572440.640000001</v>
      </c>
      <c r="Q1433" s="49">
        <f>3443.6*1954.25</f>
        <v>6729655.2999999998</v>
      </c>
      <c r="R1433" s="12">
        <v>13977090.300000001</v>
      </c>
      <c r="S1433" s="9">
        <f>3443.6*1462.9</f>
        <v>5037642.4400000004</v>
      </c>
      <c r="T1433" s="9"/>
      <c r="U1433" s="9"/>
      <c r="V1433" s="5">
        <f>724496.4+138567+948566.28+1006855.72</f>
        <v>2818485.4</v>
      </c>
      <c r="W1433" s="24">
        <f t="shared" ref="W1433" si="665">ROUND((D1433+F1433+G1433+H1433+I1433+L1433+K1433+M1433+O1433+P1433+Q1433+R1433+S1433)*1.5%,2)</f>
        <v>781322.53</v>
      </c>
      <c r="X1433" s="21"/>
      <c r="Y1433" s="24"/>
      <c r="Z1433" s="24"/>
      <c r="AA1433" s="21"/>
      <c r="AB1433" s="24">
        <f>C1433</f>
        <v>55687976.609999999</v>
      </c>
      <c r="AC1433" s="18"/>
      <c r="AD1433" s="18">
        <v>2025</v>
      </c>
      <c r="AE1433" s="18">
        <v>2026</v>
      </c>
      <c r="AF1433" s="91"/>
      <c r="AG1433" s="262"/>
    </row>
    <row r="1434" spans="1:33" s="26" customFormat="1" ht="24" customHeight="1">
      <c r="A1434" s="585">
        <f t="shared" si="654"/>
        <v>325</v>
      </c>
      <c r="B1434" s="632" t="s">
        <v>321</v>
      </c>
      <c r="C1434" s="587">
        <f t="shared" si="660"/>
        <v>50832672.68</v>
      </c>
      <c r="D1434" s="580"/>
      <c r="E1434" s="585"/>
      <c r="F1434" s="580"/>
      <c r="G1434" s="578"/>
      <c r="H1434" s="582"/>
      <c r="I1434" s="582"/>
      <c r="J1434" s="578"/>
      <c r="K1434" s="578"/>
      <c r="L1434" s="578"/>
      <c r="M1434" s="578">
        <f>1429529.07+3242016.93</f>
        <v>4671546</v>
      </c>
      <c r="N1434" s="606"/>
      <c r="O1434" s="578"/>
      <c r="P1434" s="580">
        <v>18484381.629999999</v>
      </c>
      <c r="Q1434" s="580"/>
      <c r="R1434" s="580">
        <v>24745305.420000002</v>
      </c>
      <c r="S1434" s="580"/>
      <c r="T1434" s="580"/>
      <c r="U1434" s="580"/>
      <c r="V1434" s="629">
        <f>100067.04+2161484.35</f>
        <v>2261551.39</v>
      </c>
      <c r="W1434" s="584">
        <v>669888.24</v>
      </c>
      <c r="X1434" s="581"/>
      <c r="Y1434" s="584"/>
      <c r="Z1434" s="584"/>
      <c r="AA1434" s="581"/>
      <c r="AB1434" s="584">
        <f>C1434</f>
        <v>50832672.68</v>
      </c>
      <c r="AC1434" s="585"/>
      <c r="AD1434" s="585">
        <v>2025</v>
      </c>
      <c r="AE1434" s="585">
        <v>2026</v>
      </c>
      <c r="AF1434" s="91"/>
      <c r="AG1434" s="262" t="s">
        <v>1319</v>
      </c>
    </row>
    <row r="1435" spans="1:33" s="26" customFormat="1" ht="24" customHeight="1">
      <c r="A1435" s="585">
        <f t="shared" si="654"/>
        <v>326</v>
      </c>
      <c r="B1435" s="632" t="s">
        <v>322</v>
      </c>
      <c r="C1435" s="587">
        <f t="shared" si="660"/>
        <v>20454501.600000001</v>
      </c>
      <c r="D1435" s="580"/>
      <c r="E1435" s="631"/>
      <c r="F1435" s="580"/>
      <c r="G1435" s="578"/>
      <c r="H1435" s="582"/>
      <c r="I1435" s="582"/>
      <c r="J1435" s="581"/>
      <c r="K1435" s="580"/>
      <c r="L1435" s="578"/>
      <c r="M1435" s="578">
        <f>1547529.47+3432041.53</f>
        <v>4979571</v>
      </c>
      <c r="N1435" s="606"/>
      <c r="O1435" s="578"/>
      <c r="P1435" s="578"/>
      <c r="Q1435" s="578">
        <f>4577*1954.25</f>
        <v>8944602.25</v>
      </c>
      <c r="R1435" s="580"/>
      <c r="S1435" s="580">
        <f>4577*1135.41</f>
        <v>5196771.57</v>
      </c>
      <c r="T1435" s="580"/>
      <c r="U1435" s="580"/>
      <c r="V1435" s="629">
        <v>1098223.23</v>
      </c>
      <c r="W1435" s="584">
        <v>235333.55</v>
      </c>
      <c r="X1435" s="581"/>
      <c r="Y1435" s="581"/>
      <c r="Z1435" s="581"/>
      <c r="AA1435" s="581"/>
      <c r="AB1435" s="584">
        <f t="shared" ref="AB1435" si="666">C1435</f>
        <v>20454501.600000001</v>
      </c>
      <c r="AC1435" s="585"/>
      <c r="AD1435" s="585">
        <v>2025</v>
      </c>
      <c r="AE1435" s="585">
        <v>2025</v>
      </c>
      <c r="AF1435" s="25"/>
      <c r="AG1435" s="91"/>
    </row>
    <row r="1436" spans="1:33" s="26" customFormat="1" ht="24" customHeight="1">
      <c r="A1436" s="18">
        <f t="shared" si="654"/>
        <v>327</v>
      </c>
      <c r="B1436" s="632" t="s">
        <v>240</v>
      </c>
      <c r="C1436" s="587">
        <f t="shared" ref="C1436:C1449" si="667">D1436+F1436+G1436+H1436+I1436+K1436+L1436+M1436+O1436+P1436+Q1436+R1436+S1436+U1436+W1436+V1436+X1436</f>
        <v>2951477.1</v>
      </c>
      <c r="D1436" s="580"/>
      <c r="E1436" s="620"/>
      <c r="F1436" s="581"/>
      <c r="G1436" s="578"/>
      <c r="H1436" s="582"/>
      <c r="I1436" s="582"/>
      <c r="J1436" s="581">
        <v>1</v>
      </c>
      <c r="K1436" s="597">
        <v>2771340</v>
      </c>
      <c r="L1436" s="579"/>
      <c r="M1436" s="579"/>
      <c r="N1436" s="579"/>
      <c r="O1436" s="579"/>
      <c r="P1436" s="580"/>
      <c r="Q1436" s="608"/>
      <c r="R1436" s="608"/>
      <c r="S1436" s="608"/>
      <c r="T1436" s="608"/>
      <c r="U1436" s="608"/>
      <c r="V1436" s="609">
        <v>138567</v>
      </c>
      <c r="W1436" s="580">
        <f t="shared" ref="W1436:W1437" si="668">ROUND((D1436+F1436+G1436+H1436+I1436+K1436+L1436+M1436+O1436+P1436+Q1436+R1436+S1436)*1.5%,2)</f>
        <v>41570.1</v>
      </c>
      <c r="X1436" s="610"/>
      <c r="Y1436" s="610"/>
      <c r="Z1436" s="610"/>
      <c r="AA1436" s="610"/>
      <c r="AB1436" s="584">
        <f>C1436</f>
        <v>2951477.1</v>
      </c>
      <c r="AC1436" s="585"/>
      <c r="AD1436" s="585">
        <v>2025</v>
      </c>
      <c r="AE1436" s="585">
        <v>2026</v>
      </c>
      <c r="AF1436" s="25"/>
      <c r="AG1436" s="91"/>
    </row>
    <row r="1437" spans="1:33" s="26" customFormat="1" ht="24" customHeight="1">
      <c r="A1437" s="18">
        <f t="shared" si="654"/>
        <v>328</v>
      </c>
      <c r="B1437" s="61" t="s">
        <v>1179</v>
      </c>
      <c r="C1437" s="4">
        <f t="shared" si="667"/>
        <v>22748390.66</v>
      </c>
      <c r="D1437" s="9"/>
      <c r="E1437" s="21"/>
      <c r="F1437" s="21"/>
      <c r="G1437" s="12"/>
      <c r="H1437" s="13"/>
      <c r="I1437" s="13"/>
      <c r="J1437" s="21"/>
      <c r="K1437" s="416"/>
      <c r="L1437" s="22"/>
      <c r="M1437" s="22"/>
      <c r="N1437" s="22"/>
      <c r="O1437" s="22"/>
      <c r="P1437" s="9">
        <v>12721286.939999999</v>
      </c>
      <c r="Q1437" s="9"/>
      <c r="R1437" s="9">
        <v>8473898.7100000009</v>
      </c>
      <c r="S1437" s="23"/>
      <c r="T1437" s="23"/>
      <c r="U1437" s="23"/>
      <c r="V1437" s="63">
        <f>811582.29+423694.94</f>
        <v>1235277.23</v>
      </c>
      <c r="W1437" s="9">
        <f t="shared" si="668"/>
        <v>317927.78000000003</v>
      </c>
      <c r="X1437" s="721"/>
      <c r="Y1437" s="24"/>
      <c r="Z1437" s="24"/>
      <c r="AA1437" s="721"/>
      <c r="AB1437" s="24">
        <f>C1437</f>
        <v>22748390.66</v>
      </c>
      <c r="AC1437" s="18"/>
      <c r="AD1437" s="18">
        <v>2025</v>
      </c>
      <c r="AE1437" s="18">
        <v>2026</v>
      </c>
      <c r="AF1437" s="25"/>
      <c r="AG1437" s="262"/>
    </row>
    <row r="1438" spans="1:33" s="26" customFormat="1" ht="24" customHeight="1">
      <c r="A1438" s="18">
        <f t="shared" si="654"/>
        <v>329</v>
      </c>
      <c r="B1438" s="632" t="s">
        <v>160</v>
      </c>
      <c r="C1438" s="587">
        <f t="shared" si="667"/>
        <v>3618969.05</v>
      </c>
      <c r="D1438" s="580"/>
      <c r="E1438" s="643"/>
      <c r="F1438" s="580"/>
      <c r="G1438" s="578"/>
      <c r="H1438" s="582"/>
      <c r="I1438" s="582"/>
      <c r="J1438" s="581"/>
      <c r="K1438" s="580"/>
      <c r="L1438" s="578"/>
      <c r="M1438" s="578"/>
      <c r="N1438" s="606">
        <v>1</v>
      </c>
      <c r="O1438" s="578">
        <v>3398093</v>
      </c>
      <c r="P1438" s="578"/>
      <c r="Q1438" s="578"/>
      <c r="R1438" s="580"/>
      <c r="S1438" s="580"/>
      <c r="T1438" s="580"/>
      <c r="U1438" s="580"/>
      <c r="V1438" s="629">
        <v>169904.65</v>
      </c>
      <c r="W1438" s="584">
        <v>50971.4</v>
      </c>
      <c r="X1438" s="581"/>
      <c r="Y1438" s="581"/>
      <c r="Z1438" s="581"/>
      <c r="AA1438" s="581"/>
      <c r="AB1438" s="584">
        <f>C1438</f>
        <v>3618969.05</v>
      </c>
      <c r="AC1438" s="585"/>
      <c r="AD1438" s="585">
        <v>2025</v>
      </c>
      <c r="AE1438" s="585">
        <v>2026</v>
      </c>
      <c r="AF1438" s="25"/>
      <c r="AG1438" s="91"/>
    </row>
    <row r="1439" spans="1:33" s="26" customFormat="1" ht="24" customHeight="1">
      <c r="A1439" s="18">
        <f t="shared" si="654"/>
        <v>330</v>
      </c>
      <c r="B1439" s="61" t="s">
        <v>1180</v>
      </c>
      <c r="C1439" s="4">
        <f t="shared" si="667"/>
        <v>18905653.890000001</v>
      </c>
      <c r="D1439" s="9"/>
      <c r="E1439" s="36"/>
      <c r="F1439" s="9"/>
      <c r="G1439" s="12"/>
      <c r="H1439" s="13"/>
      <c r="I1439" s="13"/>
      <c r="J1439" s="21"/>
      <c r="K1439" s="9"/>
      <c r="L1439" s="12"/>
      <c r="M1439" s="12"/>
      <c r="N1439" s="807"/>
      <c r="O1439" s="12"/>
      <c r="P1439" s="12">
        <v>17751787.690000001</v>
      </c>
      <c r="Q1439" s="12"/>
      <c r="R1439" s="9"/>
      <c r="S1439" s="9"/>
      <c r="T1439" s="9"/>
      <c r="U1439" s="9"/>
      <c r="V1439" s="5">
        <v>887589.38</v>
      </c>
      <c r="W1439" s="24">
        <v>266276.82</v>
      </c>
      <c r="X1439" s="21"/>
      <c r="Y1439" s="21"/>
      <c r="Z1439" s="24">
        <f>C1439</f>
        <v>18905653.890000001</v>
      </c>
      <c r="AA1439" s="21"/>
      <c r="AB1439" s="24"/>
      <c r="AC1439" s="18"/>
      <c r="AD1439" s="18">
        <v>2025</v>
      </c>
      <c r="AE1439" s="18">
        <v>2025</v>
      </c>
      <c r="AF1439" s="25"/>
      <c r="AG1439" s="91"/>
    </row>
    <row r="1440" spans="1:33" s="26" customFormat="1" ht="24" customHeight="1">
      <c r="A1440" s="18">
        <f t="shared" si="654"/>
        <v>331</v>
      </c>
      <c r="B1440" s="61" t="s">
        <v>1181</v>
      </c>
      <c r="C1440" s="4">
        <f t="shared" si="667"/>
        <v>13700060.57</v>
      </c>
      <c r="D1440" s="9"/>
      <c r="E1440" s="36"/>
      <c r="F1440" s="9"/>
      <c r="G1440" s="12"/>
      <c r="H1440" s="13"/>
      <c r="I1440" s="13"/>
      <c r="J1440" s="21"/>
      <c r="K1440" s="9"/>
      <c r="L1440" s="12"/>
      <c r="M1440" s="12"/>
      <c r="N1440" s="807"/>
      <c r="O1440" s="12"/>
      <c r="P1440" s="12">
        <v>12863906.640000001</v>
      </c>
      <c r="Q1440" s="12"/>
      <c r="R1440" s="9"/>
      <c r="S1440" s="9"/>
      <c r="T1440" s="9"/>
      <c r="U1440" s="9"/>
      <c r="V1440" s="5">
        <v>643195.32999999996</v>
      </c>
      <c r="W1440" s="24">
        <v>192958.6</v>
      </c>
      <c r="X1440" s="21"/>
      <c r="Y1440" s="21"/>
      <c r="Z1440" s="24">
        <f>C1440</f>
        <v>13700060.57</v>
      </c>
      <c r="AA1440" s="21"/>
      <c r="AB1440" s="24"/>
      <c r="AC1440" s="18"/>
      <c r="AD1440" s="18">
        <v>2025</v>
      </c>
      <c r="AE1440" s="18">
        <v>2025</v>
      </c>
      <c r="AF1440" s="25"/>
      <c r="AG1440" s="91"/>
    </row>
    <row r="1441" spans="1:33" s="26" customFormat="1" ht="24" customHeight="1">
      <c r="A1441" s="18">
        <f t="shared" si="654"/>
        <v>332</v>
      </c>
      <c r="B1441" s="632" t="s">
        <v>846</v>
      </c>
      <c r="C1441" s="587">
        <f t="shared" si="667"/>
        <v>7133285.1799999997</v>
      </c>
      <c r="D1441" s="580"/>
      <c r="E1441" s="643"/>
      <c r="F1441" s="580"/>
      <c r="G1441" s="578"/>
      <c r="H1441" s="582"/>
      <c r="I1441" s="582"/>
      <c r="J1441" s="581"/>
      <c r="K1441" s="580"/>
      <c r="L1441" s="578">
        <v>6697920.3499999996</v>
      </c>
      <c r="M1441" s="578"/>
      <c r="N1441" s="606"/>
      <c r="O1441" s="578"/>
      <c r="P1441" s="578"/>
      <c r="Q1441" s="578"/>
      <c r="R1441" s="580"/>
      <c r="S1441" s="580"/>
      <c r="T1441" s="580"/>
      <c r="U1441" s="580"/>
      <c r="V1441" s="629">
        <v>334896.02</v>
      </c>
      <c r="W1441" s="584">
        <v>100468.81</v>
      </c>
      <c r="X1441" s="581"/>
      <c r="Y1441" s="581"/>
      <c r="Z1441" s="581"/>
      <c r="AA1441" s="581"/>
      <c r="AB1441" s="584">
        <f>C1441</f>
        <v>7133285.1799999997</v>
      </c>
      <c r="AC1441" s="585"/>
      <c r="AD1441" s="585">
        <v>2025</v>
      </c>
      <c r="AE1441" s="585">
        <v>2026</v>
      </c>
      <c r="AF1441" s="25"/>
      <c r="AG1441" s="91"/>
    </row>
    <row r="1442" spans="1:33" s="26" customFormat="1" ht="24" customHeight="1">
      <c r="A1442" s="18">
        <f t="shared" si="654"/>
        <v>333</v>
      </c>
      <c r="B1442" s="61" t="s">
        <v>1182</v>
      </c>
      <c r="C1442" s="4">
        <f t="shared" si="667"/>
        <v>25076923.57</v>
      </c>
      <c r="D1442" s="9"/>
      <c r="E1442" s="36"/>
      <c r="F1442" s="9"/>
      <c r="G1442" s="12"/>
      <c r="H1442" s="13"/>
      <c r="I1442" s="13"/>
      <c r="J1442" s="21"/>
      <c r="K1442" s="9"/>
      <c r="L1442" s="12"/>
      <c r="M1442" s="12"/>
      <c r="N1442" s="807"/>
      <c r="O1442" s="12"/>
      <c r="P1442" s="12">
        <v>23546407.100000001</v>
      </c>
      <c r="Q1442" s="12"/>
      <c r="R1442" s="9"/>
      <c r="S1442" s="9"/>
      <c r="T1442" s="9"/>
      <c r="U1442" s="9"/>
      <c r="V1442" s="5">
        <v>1177320.3600000001</v>
      </c>
      <c r="W1442" s="24">
        <v>353196.11</v>
      </c>
      <c r="X1442" s="21"/>
      <c r="Y1442" s="21"/>
      <c r="Z1442" s="24">
        <f>C1442</f>
        <v>25076923.57</v>
      </c>
      <c r="AA1442" s="21"/>
      <c r="AB1442" s="24"/>
      <c r="AC1442" s="18"/>
      <c r="AD1442" s="18">
        <v>2025</v>
      </c>
      <c r="AE1442" s="18">
        <v>2025</v>
      </c>
      <c r="AF1442" s="25"/>
      <c r="AG1442" s="91"/>
    </row>
    <row r="1443" spans="1:33" s="26" customFormat="1" ht="24" customHeight="1">
      <c r="A1443" s="18">
        <f t="shared" si="654"/>
        <v>334</v>
      </c>
      <c r="B1443" s="61" t="s">
        <v>1183</v>
      </c>
      <c r="C1443" s="4">
        <f t="shared" si="667"/>
        <v>26966914.690000001</v>
      </c>
      <c r="D1443" s="9"/>
      <c r="E1443" s="36"/>
      <c r="F1443" s="9"/>
      <c r="G1443" s="12"/>
      <c r="H1443" s="13"/>
      <c r="I1443" s="13"/>
      <c r="J1443" s="21"/>
      <c r="K1443" s="9"/>
      <c r="L1443" s="12"/>
      <c r="M1443" s="12"/>
      <c r="N1443" s="807"/>
      <c r="O1443" s="12"/>
      <c r="P1443" s="12">
        <v>25321046.66</v>
      </c>
      <c r="Q1443" s="12"/>
      <c r="R1443" s="9"/>
      <c r="S1443" s="9"/>
      <c r="T1443" s="9"/>
      <c r="U1443" s="9"/>
      <c r="V1443" s="5">
        <v>1266052.33</v>
      </c>
      <c r="W1443" s="24">
        <v>379815.7</v>
      </c>
      <c r="X1443" s="21"/>
      <c r="Y1443" s="21"/>
      <c r="Z1443" s="24">
        <f t="shared" ref="Z1443:Z1447" si="669">C1443</f>
        <v>26966914.690000001</v>
      </c>
      <c r="AA1443" s="21"/>
      <c r="AB1443" s="24"/>
      <c r="AC1443" s="18"/>
      <c r="AD1443" s="18">
        <v>2025</v>
      </c>
      <c r="AE1443" s="18">
        <v>2025</v>
      </c>
      <c r="AF1443" s="25"/>
      <c r="AG1443" s="91"/>
    </row>
    <row r="1444" spans="1:33" s="26" customFormat="1" ht="24" customHeight="1">
      <c r="A1444" s="18">
        <f t="shared" si="654"/>
        <v>335</v>
      </c>
      <c r="B1444" s="61" t="s">
        <v>1184</v>
      </c>
      <c r="C1444" s="4">
        <f t="shared" si="667"/>
        <v>27499685.739999998</v>
      </c>
      <c r="D1444" s="9"/>
      <c r="E1444" s="36"/>
      <c r="F1444" s="9"/>
      <c r="G1444" s="12"/>
      <c r="H1444" s="13"/>
      <c r="I1444" s="13"/>
      <c r="J1444" s="21"/>
      <c r="K1444" s="9"/>
      <c r="L1444" s="12"/>
      <c r="M1444" s="12"/>
      <c r="N1444" s="807"/>
      <c r="O1444" s="12"/>
      <c r="P1444" s="12">
        <v>25821301.16</v>
      </c>
      <c r="Q1444" s="12"/>
      <c r="R1444" s="9"/>
      <c r="S1444" s="9"/>
      <c r="T1444" s="9"/>
      <c r="U1444" s="9"/>
      <c r="V1444" s="5">
        <v>1291065.06</v>
      </c>
      <c r="W1444" s="24">
        <v>387319.52</v>
      </c>
      <c r="X1444" s="21"/>
      <c r="Y1444" s="21"/>
      <c r="Z1444" s="24">
        <f t="shared" si="669"/>
        <v>27499685.739999998</v>
      </c>
      <c r="AA1444" s="21"/>
      <c r="AB1444" s="24"/>
      <c r="AC1444" s="18"/>
      <c r="AD1444" s="18">
        <v>2025</v>
      </c>
      <c r="AE1444" s="18">
        <v>2025</v>
      </c>
      <c r="AF1444" s="25"/>
      <c r="AG1444" s="91"/>
    </row>
    <row r="1445" spans="1:33" s="26" customFormat="1" ht="24" customHeight="1">
      <c r="A1445" s="18">
        <f t="shared" si="654"/>
        <v>336</v>
      </c>
      <c r="B1445" s="61" t="s">
        <v>1185</v>
      </c>
      <c r="C1445" s="4">
        <f t="shared" si="667"/>
        <v>5352835.59</v>
      </c>
      <c r="D1445" s="9"/>
      <c r="E1445" s="36"/>
      <c r="F1445" s="9"/>
      <c r="G1445" s="12"/>
      <c r="H1445" s="13"/>
      <c r="I1445" s="13"/>
      <c r="J1445" s="21"/>
      <c r="K1445" s="9"/>
      <c r="L1445" s="12"/>
      <c r="M1445" s="12"/>
      <c r="N1445" s="807"/>
      <c r="O1445" s="12"/>
      <c r="P1445" s="12">
        <v>5026136.7</v>
      </c>
      <c r="Q1445" s="12"/>
      <c r="R1445" s="9"/>
      <c r="S1445" s="9"/>
      <c r="T1445" s="9"/>
      <c r="U1445" s="9"/>
      <c r="V1445" s="5">
        <v>251306.84</v>
      </c>
      <c r="W1445" s="24">
        <v>75392.05</v>
      </c>
      <c r="X1445" s="21"/>
      <c r="Y1445" s="21"/>
      <c r="Z1445" s="24">
        <f t="shared" si="669"/>
        <v>5352835.59</v>
      </c>
      <c r="AA1445" s="21"/>
      <c r="AB1445" s="24"/>
      <c r="AC1445" s="18"/>
      <c r="AD1445" s="18">
        <v>2025</v>
      </c>
      <c r="AE1445" s="18">
        <v>2025</v>
      </c>
      <c r="AF1445" s="25"/>
      <c r="AG1445" s="91"/>
    </row>
    <row r="1446" spans="1:33" s="26" customFormat="1" ht="24" customHeight="1">
      <c r="A1446" s="18">
        <f t="shared" ref="A1446:A1448" si="670">A1445+1</f>
        <v>337</v>
      </c>
      <c r="B1446" s="61" t="s">
        <v>1186</v>
      </c>
      <c r="C1446" s="4">
        <f t="shared" si="667"/>
        <v>5555110.2699999996</v>
      </c>
      <c r="D1446" s="9"/>
      <c r="E1446" s="36"/>
      <c r="F1446" s="9"/>
      <c r="G1446" s="12"/>
      <c r="H1446" s="13"/>
      <c r="I1446" s="13"/>
      <c r="J1446" s="21"/>
      <c r="K1446" s="9"/>
      <c r="L1446" s="12"/>
      <c r="M1446" s="12"/>
      <c r="N1446" s="807"/>
      <c r="O1446" s="12"/>
      <c r="P1446" s="12">
        <v>5216065.9800000004</v>
      </c>
      <c r="Q1446" s="12"/>
      <c r="R1446" s="9"/>
      <c r="S1446" s="9"/>
      <c r="T1446" s="9"/>
      <c r="U1446" s="9"/>
      <c r="V1446" s="5">
        <v>260803.3</v>
      </c>
      <c r="W1446" s="24">
        <v>78240.990000000005</v>
      </c>
      <c r="X1446" s="21"/>
      <c r="Y1446" s="21"/>
      <c r="Z1446" s="24">
        <f t="shared" si="669"/>
        <v>5555110.2699999996</v>
      </c>
      <c r="AA1446" s="21"/>
      <c r="AB1446" s="24"/>
      <c r="AC1446" s="18"/>
      <c r="AD1446" s="18">
        <v>2025</v>
      </c>
      <c r="AE1446" s="18">
        <v>2025</v>
      </c>
      <c r="AF1446" s="25"/>
      <c r="AG1446" s="91"/>
    </row>
    <row r="1447" spans="1:33" s="26" customFormat="1" ht="24" customHeight="1">
      <c r="A1447" s="18">
        <f t="shared" si="670"/>
        <v>338</v>
      </c>
      <c r="B1447" s="61" t="s">
        <v>1187</v>
      </c>
      <c r="C1447" s="4">
        <f t="shared" si="667"/>
        <v>51338784.159999996</v>
      </c>
      <c r="D1447" s="9"/>
      <c r="E1447" s="36"/>
      <c r="F1447" s="9"/>
      <c r="G1447" s="12"/>
      <c r="H1447" s="13"/>
      <c r="I1447" s="13"/>
      <c r="J1447" s="21"/>
      <c r="K1447" s="9"/>
      <c r="L1447" s="12"/>
      <c r="M1447" s="12"/>
      <c r="N1447" s="807"/>
      <c r="O1447" s="12"/>
      <c r="P1447" s="12">
        <v>20733120.859999999</v>
      </c>
      <c r="Q1447" s="12"/>
      <c r="R1447" s="9">
        <v>27472310.280000001</v>
      </c>
      <c r="S1447" s="9"/>
      <c r="T1447" s="9"/>
      <c r="U1447" s="9"/>
      <c r="V1447" s="5">
        <f>1036656.04+1373615.51</f>
        <v>2410271.5499999998</v>
      </c>
      <c r="W1447" s="24">
        <f t="shared" ref="W1447" si="671">ROUND((D1447+F1447+G1447+H1447+I1447+L1447+K1447+M1447+O1447+P1447+Q1447+R1447+S1447)*1.5%,2)</f>
        <v>723081.47</v>
      </c>
      <c r="X1447" s="21"/>
      <c r="Y1447" s="21"/>
      <c r="Z1447" s="24">
        <f t="shared" si="669"/>
        <v>51338784.159999996</v>
      </c>
      <c r="AA1447" s="21"/>
      <c r="AB1447" s="24"/>
      <c r="AC1447" s="18"/>
      <c r="AD1447" s="18">
        <v>2025</v>
      </c>
      <c r="AE1447" s="18">
        <v>2025</v>
      </c>
      <c r="AF1447" s="25"/>
      <c r="AG1447" s="91"/>
    </row>
    <row r="1448" spans="1:33" s="26" customFormat="1" ht="24" customHeight="1">
      <c r="A1448" s="18">
        <f t="shared" si="670"/>
        <v>339</v>
      </c>
      <c r="B1448" s="61" t="s">
        <v>1096</v>
      </c>
      <c r="C1448" s="4">
        <f t="shared" si="667"/>
        <v>5583003.4199999999</v>
      </c>
      <c r="D1448" s="9"/>
      <c r="E1448" s="401">
        <v>3</v>
      </c>
      <c r="F1448" s="69">
        <f>1612809*E1448</f>
        <v>4838427</v>
      </c>
      <c r="G1448" s="710"/>
      <c r="H1448" s="69"/>
      <c r="I1448" s="69"/>
      <c r="J1448" s="69"/>
      <c r="K1448" s="69"/>
      <c r="L1448" s="710"/>
      <c r="M1448" s="710"/>
      <c r="N1448" s="710"/>
      <c r="O1448" s="710"/>
      <c r="P1448" s="69"/>
      <c r="Q1448" s="69"/>
      <c r="R1448" s="69"/>
      <c r="S1448" s="69"/>
      <c r="T1448" s="69"/>
      <c r="U1448" s="69"/>
      <c r="V1448" s="129">
        <v>672000</v>
      </c>
      <c r="W1448" s="24">
        <v>72576.42</v>
      </c>
      <c r="X1448" s="69"/>
      <c r="Y1448" s="21"/>
      <c r="Z1448" s="21"/>
      <c r="AA1448" s="21"/>
      <c r="AB1448" s="24">
        <f t="shared" ref="AB1448" si="672">C1448</f>
        <v>5583003.4199999999</v>
      </c>
      <c r="AC1448" s="18"/>
      <c r="AD1448" s="18">
        <v>2025</v>
      </c>
      <c r="AE1448" s="18">
        <v>2026</v>
      </c>
      <c r="AF1448" s="25"/>
      <c r="AG1448" s="91"/>
    </row>
    <row r="1449" spans="1:33" s="26" customFormat="1" ht="24" customHeight="1">
      <c r="A1449" s="319">
        <f t="shared" si="654"/>
        <v>340</v>
      </c>
      <c r="B1449" s="632" t="s">
        <v>1097</v>
      </c>
      <c r="C1449" s="587">
        <f t="shared" si="667"/>
        <v>1861001.14</v>
      </c>
      <c r="D1449" s="580"/>
      <c r="E1449" s="640">
        <v>1</v>
      </c>
      <c r="F1449" s="589">
        <v>1612809</v>
      </c>
      <c r="G1449" s="588"/>
      <c r="H1449" s="589"/>
      <c r="I1449" s="589"/>
      <c r="J1449" s="589"/>
      <c r="K1449" s="589"/>
      <c r="L1449" s="588"/>
      <c r="M1449" s="588"/>
      <c r="N1449" s="588"/>
      <c r="O1449" s="588"/>
      <c r="P1449" s="589"/>
      <c r="Q1449" s="589"/>
      <c r="R1449" s="589"/>
      <c r="S1449" s="589"/>
      <c r="T1449" s="589"/>
      <c r="U1449" s="589"/>
      <c r="V1449" s="590">
        <v>224000</v>
      </c>
      <c r="W1449" s="584">
        <v>24192.14</v>
      </c>
      <c r="X1449" s="589"/>
      <c r="Y1449" s="581"/>
      <c r="Z1449" s="581"/>
      <c r="AA1449" s="581"/>
      <c r="AB1449" s="584">
        <f t="shared" ref="AB1449" si="673">C1449</f>
        <v>1861001.14</v>
      </c>
      <c r="AC1449" s="585"/>
      <c r="AD1449" s="585">
        <v>2025</v>
      </c>
      <c r="AE1449" s="585">
        <v>2026</v>
      </c>
      <c r="AF1449" s="25"/>
      <c r="AG1449" s="91"/>
    </row>
    <row r="1450" spans="1:33" s="26" customFormat="1" ht="24" customHeight="1">
      <c r="A1450" s="319">
        <f t="shared" si="654"/>
        <v>341</v>
      </c>
      <c r="B1450" s="235" t="s">
        <v>998</v>
      </c>
      <c r="C1450" s="232">
        <f t="shared" ref="C1450:C1451" si="674">D1450+F1450+G1450+H1450+I1450+K1450+L1450+M1450+O1450+P1450+Q1450+R1450+S1450+W1450+V1450+X1450</f>
        <v>2926986.86</v>
      </c>
      <c r="D1450" s="228"/>
      <c r="E1450" s="403"/>
      <c r="F1450" s="228"/>
      <c r="G1450" s="182"/>
      <c r="H1450" s="234"/>
      <c r="I1450" s="234"/>
      <c r="J1450" s="229"/>
      <c r="K1450" s="228"/>
      <c r="L1450" s="182"/>
      <c r="M1450" s="185"/>
      <c r="N1450" s="195"/>
      <c r="O1450" s="182"/>
      <c r="P1450" s="182"/>
      <c r="Q1450" s="182">
        <f>1434.9*635.48</f>
        <v>911850.25</v>
      </c>
      <c r="R1450" s="228"/>
      <c r="S1450" s="228">
        <f>1434.9*1244.57</f>
        <v>1785833.49</v>
      </c>
      <c r="T1450" s="228"/>
      <c r="U1450" s="228"/>
      <c r="V1450" s="268">
        <v>188837.86</v>
      </c>
      <c r="W1450" s="230">
        <f t="shared" ref="W1450:W1451" si="675">ROUND((D1450+F1450+G1450+H1450+I1450+L1450+K1450+M1450+O1450+P1450+Q1450+R1450+S1450)*1.5%,2)</f>
        <v>40465.26</v>
      </c>
      <c r="X1450" s="229"/>
      <c r="Y1450" s="229"/>
      <c r="Z1450" s="229"/>
      <c r="AA1450" s="229"/>
      <c r="AB1450" s="230">
        <f t="shared" ref="AB1450:AB1451" si="676">C1450</f>
        <v>2926986.86</v>
      </c>
      <c r="AC1450" s="231"/>
      <c r="AD1450" s="231">
        <v>2025</v>
      </c>
      <c r="AE1450" s="231">
        <v>2025</v>
      </c>
      <c r="AF1450" s="25"/>
      <c r="AG1450" s="91"/>
    </row>
    <row r="1451" spans="1:33" s="26" customFormat="1" ht="24" customHeight="1">
      <c r="A1451" s="319">
        <f t="shared" si="654"/>
        <v>342</v>
      </c>
      <c r="B1451" s="586" t="s">
        <v>1098</v>
      </c>
      <c r="C1451" s="587">
        <f t="shared" si="674"/>
        <v>12831605.140000001</v>
      </c>
      <c r="D1451" s="589"/>
      <c r="E1451" s="640"/>
      <c r="F1451" s="589"/>
      <c r="G1451" s="588"/>
      <c r="H1451" s="589"/>
      <c r="I1451" s="589"/>
      <c r="J1451" s="589"/>
      <c r="K1451" s="589"/>
      <c r="L1451" s="588"/>
      <c r="M1451" s="588"/>
      <c r="N1451" s="588"/>
      <c r="O1451" s="588"/>
      <c r="P1451" s="588">
        <v>8759503.5899999999</v>
      </c>
      <c r="Q1451" s="588"/>
      <c r="R1451" s="589">
        <v>3288951.94</v>
      </c>
      <c r="S1451" s="589"/>
      <c r="T1451" s="589"/>
      <c r="U1451" s="589"/>
      <c r="V1451" s="590">
        <v>602422.78</v>
      </c>
      <c r="W1451" s="584">
        <f t="shared" si="675"/>
        <v>180726.83</v>
      </c>
      <c r="X1451" s="589"/>
      <c r="Y1451" s="589"/>
      <c r="Z1451" s="589"/>
      <c r="AA1451" s="589"/>
      <c r="AB1451" s="584">
        <f t="shared" si="676"/>
        <v>12831605.140000001</v>
      </c>
      <c r="AC1451" s="585"/>
      <c r="AD1451" s="585">
        <v>2025</v>
      </c>
      <c r="AE1451" s="585">
        <v>2026</v>
      </c>
      <c r="AF1451" s="25"/>
      <c r="AG1451" s="91"/>
    </row>
    <row r="1452" spans="1:33" s="26" customFormat="1" ht="24" customHeight="1">
      <c r="A1452" s="319">
        <f t="shared" si="654"/>
        <v>343</v>
      </c>
      <c r="B1452" s="632" t="s">
        <v>1099</v>
      </c>
      <c r="C1452" s="587">
        <f t="shared" ref="C1452" si="677">D1452+F1452+G1452+H1452+I1452+K1452+L1452+M1452+O1452+P1452+Q1452+R1452+S1452+U1452+W1452+V1452+X1452</f>
        <v>2951477.1</v>
      </c>
      <c r="D1452" s="580"/>
      <c r="E1452" s="620"/>
      <c r="F1452" s="581"/>
      <c r="G1452" s="578"/>
      <c r="H1452" s="582"/>
      <c r="I1452" s="582"/>
      <c r="J1452" s="581">
        <v>1</v>
      </c>
      <c r="K1452" s="597">
        <v>2771340</v>
      </c>
      <c r="L1452" s="579"/>
      <c r="M1452" s="579"/>
      <c r="N1452" s="579"/>
      <c r="O1452" s="579"/>
      <c r="P1452" s="580"/>
      <c r="Q1452" s="608"/>
      <c r="R1452" s="608"/>
      <c r="S1452" s="608"/>
      <c r="T1452" s="608"/>
      <c r="U1452" s="608"/>
      <c r="V1452" s="609">
        <v>138567</v>
      </c>
      <c r="W1452" s="580">
        <f t="shared" ref="W1452" si="678">ROUND((D1452+F1452+G1452+H1452+I1452+K1452+L1452+M1452+O1452+P1452+Q1452+R1452+S1452)*1.5%,2)</f>
        <v>41570.1</v>
      </c>
      <c r="X1452" s="610"/>
      <c r="Y1452" s="610"/>
      <c r="Z1452" s="610"/>
      <c r="AA1452" s="610"/>
      <c r="AB1452" s="584">
        <f>C1452</f>
        <v>2951477.1</v>
      </c>
      <c r="AC1452" s="585"/>
      <c r="AD1452" s="585">
        <v>2025</v>
      </c>
      <c r="AE1452" s="585">
        <v>2026</v>
      </c>
      <c r="AF1452" s="25"/>
      <c r="AG1452" s="91"/>
    </row>
    <row r="1453" spans="1:33" s="148" customFormat="1" ht="24" customHeight="1">
      <c r="A1453" s="883" t="s">
        <v>262</v>
      </c>
      <c r="B1453" s="883"/>
      <c r="C1453" s="16">
        <f>SUM(C1409:C1452)</f>
        <v>578516029.75999999</v>
      </c>
      <c r="D1453" s="16">
        <f t="shared" ref="D1453:AC1453" si="679">SUM(D1409:D1452)</f>
        <v>3442334.94</v>
      </c>
      <c r="E1453" s="396">
        <f t="shared" si="679"/>
        <v>19</v>
      </c>
      <c r="F1453" s="16">
        <f t="shared" si="679"/>
        <v>30643371</v>
      </c>
      <c r="G1453" s="16">
        <f t="shared" si="679"/>
        <v>3237007.62</v>
      </c>
      <c r="H1453" s="16">
        <f t="shared" si="679"/>
        <v>3470542.68</v>
      </c>
      <c r="I1453" s="16">
        <f t="shared" si="679"/>
        <v>28116502.579999998</v>
      </c>
      <c r="J1453" s="396">
        <f t="shared" si="679"/>
        <v>9</v>
      </c>
      <c r="K1453" s="16">
        <f t="shared" si="679"/>
        <v>24942060</v>
      </c>
      <c r="L1453" s="16">
        <f t="shared" si="679"/>
        <v>9911047.8499999996</v>
      </c>
      <c r="M1453" s="16">
        <f t="shared" si="679"/>
        <v>9651117</v>
      </c>
      <c r="N1453" s="396">
        <f t="shared" si="679"/>
        <v>1</v>
      </c>
      <c r="O1453" s="16">
        <f t="shared" si="679"/>
        <v>3398093</v>
      </c>
      <c r="P1453" s="16">
        <f t="shared" si="679"/>
        <v>304151891.06</v>
      </c>
      <c r="Q1453" s="16">
        <f t="shared" si="679"/>
        <v>16586107.800000001</v>
      </c>
      <c r="R1453" s="16">
        <f t="shared" si="679"/>
        <v>90814401.590000004</v>
      </c>
      <c r="S1453" s="16">
        <f t="shared" si="679"/>
        <v>12020247.5</v>
      </c>
      <c r="T1453" s="16">
        <f t="shared" si="679"/>
        <v>0</v>
      </c>
      <c r="U1453" s="16">
        <f t="shared" si="679"/>
        <v>0</v>
      </c>
      <c r="V1453" s="16">
        <f t="shared" si="679"/>
        <v>30254825.170000002</v>
      </c>
      <c r="W1453" s="16">
        <f t="shared" si="679"/>
        <v>7876479.9699999997</v>
      </c>
      <c r="X1453" s="16">
        <f t="shared" si="679"/>
        <v>0</v>
      </c>
      <c r="Y1453" s="16">
        <f t="shared" si="679"/>
        <v>0</v>
      </c>
      <c r="Z1453" s="16">
        <f t="shared" si="679"/>
        <v>174395968.47999999</v>
      </c>
      <c r="AA1453" s="16">
        <f t="shared" si="679"/>
        <v>0</v>
      </c>
      <c r="AB1453" s="16">
        <f t="shared" si="679"/>
        <v>404120061.27999997</v>
      </c>
      <c r="AC1453" s="16">
        <f t="shared" si="679"/>
        <v>0</v>
      </c>
      <c r="AD1453" s="798" t="s">
        <v>29</v>
      </c>
      <c r="AE1453" s="798" t="s">
        <v>29</v>
      </c>
      <c r="AF1453" s="146"/>
      <c r="AG1453" s="147"/>
    </row>
    <row r="1454" spans="1:33" ht="24" customHeight="1">
      <c r="A1454" s="888" t="s">
        <v>374</v>
      </c>
      <c r="B1454" s="888"/>
      <c r="C1454" s="888"/>
      <c r="D1454" s="888"/>
      <c r="E1454" s="888"/>
      <c r="F1454" s="888"/>
      <c r="G1454" s="888"/>
      <c r="H1454" s="888"/>
      <c r="I1454" s="888"/>
      <c r="J1454" s="888"/>
      <c r="K1454" s="888"/>
      <c r="L1454" s="888"/>
      <c r="M1454" s="888"/>
      <c r="N1454" s="888"/>
      <c r="O1454" s="888"/>
      <c r="P1454" s="888"/>
      <c r="Q1454" s="888"/>
      <c r="R1454" s="888"/>
      <c r="S1454" s="888"/>
      <c r="T1454" s="889"/>
      <c r="U1454" s="889"/>
      <c r="V1454" s="888"/>
      <c r="W1454" s="888"/>
      <c r="X1454" s="888"/>
      <c r="Y1454" s="888"/>
      <c r="Z1454" s="888"/>
      <c r="AA1454" s="888"/>
      <c r="AB1454" s="888"/>
      <c r="AC1454" s="888"/>
      <c r="AD1454" s="888"/>
      <c r="AE1454" s="888"/>
      <c r="AF1454" s="808"/>
      <c r="AG1454" s="806"/>
    </row>
    <row r="1455" spans="1:33" ht="24" customHeight="1">
      <c r="A1455" s="319">
        <f>A1452+1</f>
        <v>344</v>
      </c>
      <c r="B1455" s="341" t="s">
        <v>881</v>
      </c>
      <c r="C1455" s="321">
        <f>D1455+F1455+G1455+H1455+I1455+K1455+L1455+M1455+O1455+P1455+Q1455+R1455+S1455+W1455+V1455+X1455</f>
        <v>27268120.960000001</v>
      </c>
      <c r="D1455" s="801"/>
      <c r="E1455" s="801"/>
      <c r="F1455" s="801"/>
      <c r="G1455" s="364"/>
      <c r="H1455" s="801"/>
      <c r="I1455" s="801"/>
      <c r="J1455" s="801"/>
      <c r="K1455" s="801"/>
      <c r="L1455" s="364"/>
      <c r="M1455" s="364"/>
      <c r="N1455" s="364"/>
      <c r="O1455" s="364"/>
      <c r="P1455" s="801"/>
      <c r="Q1455" s="801"/>
      <c r="R1455" s="346">
        <v>25483848.129999999</v>
      </c>
      <c r="S1455" s="801"/>
      <c r="T1455" s="801"/>
      <c r="U1455" s="801"/>
      <c r="V1455" s="346">
        <v>1402015.11</v>
      </c>
      <c r="W1455" s="346">
        <v>382257.72</v>
      </c>
      <c r="X1455" s="801"/>
      <c r="Y1455" s="339">
        <f>C1455*69%</f>
        <v>18815003.460000001</v>
      </c>
      <c r="Z1455" s="339">
        <f>C1455*31%</f>
        <v>8453117.5</v>
      </c>
      <c r="AA1455" s="801"/>
      <c r="AB1455" s="801"/>
      <c r="AC1455" s="801"/>
      <c r="AD1455" s="319">
        <v>2025</v>
      </c>
      <c r="AE1455" s="319">
        <v>2025</v>
      </c>
      <c r="AF1455" s="441"/>
      <c r="AG1455" s="262"/>
    </row>
    <row r="1456" spans="1:33" s="26" customFormat="1" ht="24" customHeight="1">
      <c r="A1456" s="18">
        <f>A1455+1</f>
        <v>345</v>
      </c>
      <c r="B1456" s="59" t="s">
        <v>324</v>
      </c>
      <c r="C1456" s="4">
        <f>D1456+F1456+G1456+H1456+I1456+K1456+L1456+M1456+O1456+P1456+Q1456+R1456+S1456+W1456+V1456+X1456</f>
        <v>7200455.2999999998</v>
      </c>
      <c r="D1456" s="9"/>
      <c r="E1456" s="9"/>
      <c r="F1456" s="9"/>
      <c r="G1456" s="12"/>
      <c r="H1456" s="13"/>
      <c r="I1456" s="13"/>
      <c r="J1456" s="21"/>
      <c r="K1456" s="9"/>
      <c r="L1456" s="12"/>
      <c r="M1456" s="22"/>
      <c r="N1456" s="22"/>
      <c r="O1456" s="22"/>
      <c r="P1456" s="9"/>
      <c r="Q1456" s="9"/>
      <c r="R1456" s="9">
        <f>ROUND(2078.6*3170.13,2)</f>
        <v>6589432.2199999997</v>
      </c>
      <c r="S1456" s="13"/>
      <c r="T1456" s="110"/>
      <c r="U1456" s="110"/>
      <c r="V1456" s="5">
        <v>512181.6</v>
      </c>
      <c r="W1456" s="24">
        <f>ROUND((D1456+F1456+G1456+H1456+I1456+K1456+L1456+M1456+O1456+P1456+Q1456+R1456+S1456)*1.5%,2)</f>
        <v>98841.48</v>
      </c>
      <c r="X1456" s="21"/>
      <c r="Y1456" s="21"/>
      <c r="Z1456" s="21"/>
      <c r="AA1456" s="21"/>
      <c r="AB1456" s="24">
        <f>C1456</f>
        <v>7200455.2999999998</v>
      </c>
      <c r="AC1456" s="18"/>
      <c r="AD1456" s="18">
        <v>2025</v>
      </c>
      <c r="AE1456" s="18">
        <v>2025</v>
      </c>
      <c r="AF1456" s="25"/>
      <c r="AG1456" s="91"/>
    </row>
    <row r="1457" spans="1:33" s="26" customFormat="1" ht="24" customHeight="1">
      <c r="A1457" s="585">
        <f t="shared" ref="A1457:A1458" si="680">A1456+1</f>
        <v>346</v>
      </c>
      <c r="B1457" s="633" t="s">
        <v>1100</v>
      </c>
      <c r="C1457" s="587">
        <f>D1457+F1457+G1457+H1457+I1457+K1457+L1457+M1457+O1457+P1457+Q1457+R1457+S1457+W1457+V1457+X1457</f>
        <v>14745956</v>
      </c>
      <c r="D1457" s="580"/>
      <c r="E1457" s="580"/>
      <c r="F1457" s="580"/>
      <c r="G1457" s="578"/>
      <c r="H1457" s="582"/>
      <c r="I1457" s="582"/>
      <c r="J1457" s="581"/>
      <c r="K1457" s="580"/>
      <c r="L1457" s="578"/>
      <c r="M1457" s="579"/>
      <c r="N1457" s="579"/>
      <c r="O1457" s="579"/>
      <c r="P1457" s="580">
        <v>13845968.08</v>
      </c>
      <c r="Q1457" s="580"/>
      <c r="R1457" s="580"/>
      <c r="S1457" s="582"/>
      <c r="T1457" s="582"/>
      <c r="U1457" s="582"/>
      <c r="V1457" s="629">
        <v>692298.4</v>
      </c>
      <c r="W1457" s="584">
        <f>ROUND((D1457+F1457+G1457+H1457+I1457+K1457+L1457+M1457+O1457+P1457+Q1457+R1457+S1457)*1.5%,2)</f>
        <v>207689.52</v>
      </c>
      <c r="X1457" s="581"/>
      <c r="Y1457" s="581"/>
      <c r="Z1457" s="581"/>
      <c r="AA1457" s="581"/>
      <c r="AB1457" s="584">
        <f>C1457</f>
        <v>14745956</v>
      </c>
      <c r="AC1457" s="585"/>
      <c r="AD1457" s="585">
        <v>2025</v>
      </c>
      <c r="AE1457" s="585">
        <v>2026</v>
      </c>
      <c r="AF1457" s="91"/>
      <c r="AG1457" s="91"/>
    </row>
    <row r="1458" spans="1:33" s="26" customFormat="1" ht="24" customHeight="1">
      <c r="A1458" s="585">
        <f t="shared" si="680"/>
        <v>347</v>
      </c>
      <c r="B1458" s="633" t="s">
        <v>325</v>
      </c>
      <c r="C1458" s="587">
        <f>D1458+F1458+G1458+H1458+I1458+K1458+L1458+M1458+O1458+P1458+Q1458+R1458+S1458+W1458+V1458+X1458</f>
        <v>18246453.52</v>
      </c>
      <c r="D1458" s="580">
        <f>ROUND(2072.5*643.1,2)</f>
        <v>1332824.75</v>
      </c>
      <c r="E1458" s="580"/>
      <c r="F1458" s="580"/>
      <c r="G1458" s="578">
        <f>ROUND(2072.5*650.2,2)</f>
        <v>1347539.5</v>
      </c>
      <c r="H1458" s="582"/>
      <c r="I1458" s="582"/>
      <c r="J1458" s="581"/>
      <c r="K1458" s="580"/>
      <c r="L1458" s="578"/>
      <c r="M1458" s="579"/>
      <c r="N1458" s="579"/>
      <c r="O1458" s="579"/>
      <c r="P1458" s="580">
        <v>14173857.470000001</v>
      </c>
      <c r="Q1458" s="580"/>
      <c r="R1458" s="580"/>
      <c r="S1458" s="582"/>
      <c r="T1458" s="582"/>
      <c r="U1458" s="582"/>
      <c r="V1458" s="629">
        <f>430725.6+708692.87</f>
        <v>1139418.47</v>
      </c>
      <c r="W1458" s="584">
        <f>ROUND((D1458+F1458+G1458+H1458+I1458+K1458+L1458+M1458+O1458+P1458+Q1458+R1458+S1458)*1.5%,2)</f>
        <v>252813.33</v>
      </c>
      <c r="X1458" s="581"/>
      <c r="Y1458" s="581"/>
      <c r="Z1458" s="581"/>
      <c r="AA1458" s="581"/>
      <c r="AB1458" s="584">
        <f>C1458</f>
        <v>18246453.52</v>
      </c>
      <c r="AC1458" s="585"/>
      <c r="AD1458" s="585">
        <v>2025</v>
      </c>
      <c r="AE1458" s="585">
        <v>2026</v>
      </c>
      <c r="AF1458" s="91"/>
      <c r="AG1458" s="91"/>
    </row>
    <row r="1459" spans="1:33" s="148" customFormat="1" ht="24" customHeight="1">
      <c r="A1459" s="883" t="s">
        <v>262</v>
      </c>
      <c r="B1459" s="883"/>
      <c r="C1459" s="16">
        <f>SUM(C1455:C1458)</f>
        <v>67460985.780000001</v>
      </c>
      <c r="D1459" s="16">
        <f t="shared" ref="D1459:AC1459" si="681">SUM(D1455:D1458)</f>
        <v>1332824.75</v>
      </c>
      <c r="E1459" s="16">
        <f t="shared" si="681"/>
        <v>0</v>
      </c>
      <c r="F1459" s="16">
        <f t="shared" si="681"/>
        <v>0</v>
      </c>
      <c r="G1459" s="16">
        <f t="shared" si="681"/>
        <v>1347539.5</v>
      </c>
      <c r="H1459" s="16">
        <f t="shared" si="681"/>
        <v>0</v>
      </c>
      <c r="I1459" s="16">
        <f t="shared" si="681"/>
        <v>0</v>
      </c>
      <c r="J1459" s="16">
        <f t="shared" si="681"/>
        <v>0</v>
      </c>
      <c r="K1459" s="16">
        <f t="shared" si="681"/>
        <v>0</v>
      </c>
      <c r="L1459" s="16">
        <f t="shared" si="681"/>
        <v>0</v>
      </c>
      <c r="M1459" s="16">
        <f t="shared" si="681"/>
        <v>0</v>
      </c>
      <c r="N1459" s="16">
        <f t="shared" si="681"/>
        <v>0</v>
      </c>
      <c r="O1459" s="16">
        <f t="shared" si="681"/>
        <v>0</v>
      </c>
      <c r="P1459" s="16">
        <f t="shared" si="681"/>
        <v>28019825.550000001</v>
      </c>
      <c r="Q1459" s="16">
        <f t="shared" si="681"/>
        <v>0</v>
      </c>
      <c r="R1459" s="16">
        <f t="shared" si="681"/>
        <v>32073280.350000001</v>
      </c>
      <c r="S1459" s="16">
        <f t="shared" si="681"/>
        <v>0</v>
      </c>
      <c r="T1459" s="16">
        <f t="shared" si="681"/>
        <v>0</v>
      </c>
      <c r="U1459" s="16">
        <f t="shared" si="681"/>
        <v>0</v>
      </c>
      <c r="V1459" s="16">
        <f t="shared" si="681"/>
        <v>3745913.58</v>
      </c>
      <c r="W1459" s="16">
        <f t="shared" si="681"/>
        <v>941602.05</v>
      </c>
      <c r="X1459" s="16">
        <f t="shared" si="681"/>
        <v>0</v>
      </c>
      <c r="Y1459" s="16">
        <f t="shared" si="681"/>
        <v>18815003.460000001</v>
      </c>
      <c r="Z1459" s="16">
        <f t="shared" si="681"/>
        <v>8453117.5</v>
      </c>
      <c r="AA1459" s="16">
        <f t="shared" si="681"/>
        <v>0</v>
      </c>
      <c r="AB1459" s="16">
        <f t="shared" si="681"/>
        <v>40192864.82</v>
      </c>
      <c r="AC1459" s="16">
        <f t="shared" si="681"/>
        <v>0</v>
      </c>
      <c r="AD1459" s="798" t="s">
        <v>29</v>
      </c>
      <c r="AE1459" s="798" t="s">
        <v>29</v>
      </c>
      <c r="AF1459" s="146"/>
      <c r="AG1459" s="147"/>
    </row>
    <row r="1460" spans="1:33" s="148" customFormat="1" ht="24" customHeight="1">
      <c r="A1460" s="885" t="s">
        <v>1283</v>
      </c>
      <c r="B1460" s="886"/>
      <c r="C1460" s="886"/>
      <c r="D1460" s="886"/>
      <c r="E1460" s="886"/>
      <c r="F1460" s="886"/>
      <c r="G1460" s="886"/>
      <c r="H1460" s="886"/>
      <c r="I1460" s="886"/>
      <c r="J1460" s="886"/>
      <c r="K1460" s="886"/>
      <c r="L1460" s="886"/>
      <c r="M1460" s="886"/>
      <c r="N1460" s="886"/>
      <c r="O1460" s="886"/>
      <c r="P1460" s="886"/>
      <c r="Q1460" s="886"/>
      <c r="R1460" s="886"/>
      <c r="S1460" s="886"/>
      <c r="T1460" s="886"/>
      <c r="U1460" s="886"/>
      <c r="V1460" s="886"/>
      <c r="W1460" s="886"/>
      <c r="X1460" s="886"/>
      <c r="Y1460" s="886"/>
      <c r="Z1460" s="886"/>
      <c r="AA1460" s="886"/>
      <c r="AB1460" s="886"/>
      <c r="AC1460" s="886"/>
      <c r="AD1460" s="886"/>
      <c r="AE1460" s="887"/>
      <c r="AF1460" s="146"/>
      <c r="AG1460" s="147"/>
    </row>
    <row r="1461" spans="1:33" s="148" customFormat="1" ht="24" customHeight="1">
      <c r="A1461" s="885" t="s">
        <v>1284</v>
      </c>
      <c r="B1461" s="913"/>
      <c r="C1461" s="913"/>
      <c r="D1461" s="913"/>
      <c r="E1461" s="913"/>
      <c r="F1461" s="913"/>
      <c r="G1461" s="913"/>
      <c r="H1461" s="913"/>
      <c r="I1461" s="913"/>
      <c r="J1461" s="913"/>
      <c r="K1461" s="913"/>
      <c r="L1461" s="913"/>
      <c r="M1461" s="913"/>
      <c r="N1461" s="913"/>
      <c r="O1461" s="913"/>
      <c r="P1461" s="913"/>
      <c r="Q1461" s="913"/>
      <c r="R1461" s="913"/>
      <c r="S1461" s="913"/>
      <c r="T1461" s="913"/>
      <c r="U1461" s="913"/>
      <c r="V1461" s="913"/>
      <c r="W1461" s="913"/>
      <c r="X1461" s="913"/>
      <c r="Y1461" s="913"/>
      <c r="Z1461" s="913"/>
      <c r="AA1461" s="913"/>
      <c r="AB1461" s="913"/>
      <c r="AC1461" s="913"/>
      <c r="AD1461" s="913"/>
      <c r="AE1461" s="914"/>
      <c r="AF1461" s="147"/>
      <c r="AG1461" s="147"/>
    </row>
    <row r="1462" spans="1:33" s="26" customFormat="1" ht="24" customHeight="1">
      <c r="A1462" s="18">
        <f>A1458+1</f>
        <v>348</v>
      </c>
      <c r="B1462" s="21" t="s">
        <v>1188</v>
      </c>
      <c r="C1462" s="4">
        <f t="shared" ref="C1462:C1463" si="682">D1462+F1462+G1462+H1462+I1462+K1462+L1462+M1462+O1462+P1462+Q1462+R1462+S1462+W1462+V1462+X1462</f>
        <v>63640606.450000003</v>
      </c>
      <c r="D1462" s="9"/>
      <c r="E1462" s="36"/>
      <c r="F1462" s="9"/>
      <c r="G1462" s="12"/>
      <c r="H1462" s="13"/>
      <c r="I1462" s="13"/>
      <c r="J1462" s="21"/>
      <c r="K1462" s="9"/>
      <c r="L1462" s="9"/>
      <c r="M1462" s="21"/>
      <c r="N1462" s="722"/>
      <c r="O1462" s="723"/>
      <c r="P1462" s="3">
        <v>20071452</v>
      </c>
      <c r="Q1462" s="9"/>
      <c r="R1462" s="24">
        <v>39684985.979999997</v>
      </c>
      <c r="S1462" s="13"/>
      <c r="T1462" s="13"/>
      <c r="U1462" s="13"/>
      <c r="V1462" s="5">
        <f>1003572.6+1984249.3</f>
        <v>2987821.9</v>
      </c>
      <c r="W1462" s="41">
        <f>301071.78+595274.79</f>
        <v>896346.57</v>
      </c>
      <c r="X1462" s="21"/>
      <c r="Y1462" s="24">
        <f>42264510.07*59%</f>
        <v>24936060.940000001</v>
      </c>
      <c r="Z1462" s="24">
        <f>42264510.07*41%</f>
        <v>17328449.129999999</v>
      </c>
      <c r="AA1462" s="21"/>
      <c r="AB1462" s="24">
        <f>C1462-Y1462-Z1462</f>
        <v>21376096.379999999</v>
      </c>
      <c r="AC1462" s="18"/>
      <c r="AD1462" s="18">
        <v>2025</v>
      </c>
      <c r="AE1462" s="18">
        <v>2026</v>
      </c>
      <c r="AF1462" s="91"/>
      <c r="AG1462" s="262"/>
    </row>
    <row r="1463" spans="1:33" s="26" customFormat="1" ht="24" customHeight="1">
      <c r="A1463" s="18">
        <f>A1462+1</f>
        <v>349</v>
      </c>
      <c r="B1463" s="21" t="s">
        <v>1189</v>
      </c>
      <c r="C1463" s="4">
        <f t="shared" si="682"/>
        <v>46535861.280000001</v>
      </c>
      <c r="D1463" s="9"/>
      <c r="E1463" s="36"/>
      <c r="F1463" s="9"/>
      <c r="G1463" s="12"/>
      <c r="H1463" s="13"/>
      <c r="I1463" s="13"/>
      <c r="J1463" s="21"/>
      <c r="K1463" s="9"/>
      <c r="L1463" s="9"/>
      <c r="M1463" s="21"/>
      <c r="N1463" s="722"/>
      <c r="O1463" s="723"/>
      <c r="P1463" s="3">
        <v>14676829.119999999</v>
      </c>
      <c r="Q1463" s="9"/>
      <c r="R1463" s="24">
        <v>29018815.27</v>
      </c>
      <c r="S1463" s="13"/>
      <c r="T1463" s="13"/>
      <c r="U1463" s="13"/>
      <c r="V1463" s="5">
        <f>733841.46+1450940.76</f>
        <v>2184782.2200000002</v>
      </c>
      <c r="W1463" s="41">
        <f>220152.44+435282.23</f>
        <v>655434.67000000004</v>
      </c>
      <c r="X1463" s="21"/>
      <c r="Y1463" s="24">
        <f>30905038.26*59%</f>
        <v>18233972.57</v>
      </c>
      <c r="Z1463" s="24">
        <f>30905038.26*41%</f>
        <v>12671065.689999999</v>
      </c>
      <c r="AA1463" s="21"/>
      <c r="AB1463" s="24">
        <f>C1463-Y1463-Z1463</f>
        <v>15630823.02</v>
      </c>
      <c r="AC1463" s="18"/>
      <c r="AD1463" s="18">
        <v>2025</v>
      </c>
      <c r="AE1463" s="18">
        <v>2026</v>
      </c>
      <c r="AF1463" s="91"/>
      <c r="AG1463" s="262"/>
    </row>
    <row r="1464" spans="1:33" s="26" customFormat="1" ht="24" customHeight="1">
      <c r="A1464" s="18">
        <f t="shared" ref="A1464:A1466" si="683">A1463+1</f>
        <v>350</v>
      </c>
      <c r="B1464" s="229" t="s">
        <v>858</v>
      </c>
      <c r="C1464" s="232">
        <f t="shared" ref="C1464:C1466" si="684">D1464+F1464+G1464+H1464+I1464+K1464+L1464+M1464+O1464+P1464+Q1464+R1464+S1464+W1464+V1464+X1464</f>
        <v>30998214.77</v>
      </c>
      <c r="D1464" s="228"/>
      <c r="E1464" s="265"/>
      <c r="F1464" s="228"/>
      <c r="G1464" s="182"/>
      <c r="H1464" s="234"/>
      <c r="I1464" s="234"/>
      <c r="J1464" s="229"/>
      <c r="K1464" s="228"/>
      <c r="L1464" s="228"/>
      <c r="M1464" s="229"/>
      <c r="N1464" s="266"/>
      <c r="O1464" s="267"/>
      <c r="P1464" s="236"/>
      <c r="Q1464" s="228"/>
      <c r="R1464" s="230">
        <v>29106304.949999999</v>
      </c>
      <c r="S1464" s="234"/>
      <c r="T1464" s="234"/>
      <c r="U1464" s="234"/>
      <c r="V1464" s="268">
        <v>1455315.25</v>
      </c>
      <c r="W1464" s="252">
        <v>436594.57</v>
      </c>
      <c r="X1464" s="229"/>
      <c r="Y1464" s="230">
        <f>C1464*59%</f>
        <v>18288946.710000001</v>
      </c>
      <c r="Z1464" s="230">
        <f>C1464*41%</f>
        <v>12709268.060000001</v>
      </c>
      <c r="AA1464" s="229"/>
      <c r="AB1464" s="230"/>
      <c r="AC1464" s="231"/>
      <c r="AD1464" s="231">
        <v>2025</v>
      </c>
      <c r="AE1464" s="231">
        <v>2026</v>
      </c>
      <c r="AF1464" s="91"/>
      <c r="AG1464" s="262"/>
    </row>
    <row r="1465" spans="1:33" s="148" customFormat="1" ht="24" customHeight="1">
      <c r="A1465" s="18">
        <f t="shared" si="683"/>
        <v>351</v>
      </c>
      <c r="B1465" s="229" t="s">
        <v>859</v>
      </c>
      <c r="C1465" s="232">
        <f t="shared" si="684"/>
        <v>15132829.83</v>
      </c>
      <c r="D1465" s="228"/>
      <c r="E1465" s="265"/>
      <c r="F1465" s="228"/>
      <c r="G1465" s="182"/>
      <c r="H1465" s="234"/>
      <c r="I1465" s="234"/>
      <c r="J1465" s="229"/>
      <c r="K1465" s="228"/>
      <c r="L1465" s="228"/>
      <c r="M1465" s="229"/>
      <c r="N1465" s="266"/>
      <c r="O1465" s="267"/>
      <c r="P1465" s="236">
        <v>14209229.890000001</v>
      </c>
      <c r="Q1465" s="228"/>
      <c r="R1465" s="230"/>
      <c r="S1465" s="234"/>
      <c r="T1465" s="234"/>
      <c r="U1465" s="234"/>
      <c r="V1465" s="268">
        <v>710461.49</v>
      </c>
      <c r="W1465" s="252">
        <v>213138.45</v>
      </c>
      <c r="X1465" s="229"/>
      <c r="Y1465" s="230">
        <f>C1465*59%</f>
        <v>8928369.5999999996</v>
      </c>
      <c r="Z1465" s="230">
        <f>C1465*41%</f>
        <v>6204460.2300000004</v>
      </c>
      <c r="AA1465" s="229"/>
      <c r="AB1465" s="230"/>
      <c r="AC1465" s="231"/>
      <c r="AD1465" s="231">
        <v>2025</v>
      </c>
      <c r="AE1465" s="231">
        <v>2026</v>
      </c>
      <c r="AF1465" s="91"/>
      <c r="AG1465" s="262"/>
    </row>
    <row r="1466" spans="1:33" s="148" customFormat="1" ht="24" customHeight="1">
      <c r="A1466" s="18">
        <f t="shared" si="683"/>
        <v>352</v>
      </c>
      <c r="B1466" s="229" t="s">
        <v>860</v>
      </c>
      <c r="C1466" s="232">
        <f t="shared" si="684"/>
        <v>46341596.490000002</v>
      </c>
      <c r="D1466" s="228"/>
      <c r="E1466" s="265"/>
      <c r="F1466" s="228"/>
      <c r="G1466" s="182"/>
      <c r="H1466" s="234"/>
      <c r="I1466" s="234"/>
      <c r="J1466" s="229"/>
      <c r="K1466" s="228"/>
      <c r="L1466" s="228"/>
      <c r="M1466" s="229"/>
      <c r="N1466" s="266"/>
      <c r="O1466" s="267"/>
      <c r="P1466" s="236">
        <v>14615560.43</v>
      </c>
      <c r="Q1466" s="228"/>
      <c r="R1466" s="230">
        <v>28897675.699999999</v>
      </c>
      <c r="S1466" s="234"/>
      <c r="T1466" s="234"/>
      <c r="U1466" s="234"/>
      <c r="V1466" s="268">
        <v>2175661.81</v>
      </c>
      <c r="W1466" s="252">
        <v>652698.55000000005</v>
      </c>
      <c r="X1466" s="229"/>
      <c r="Y1466" s="230">
        <f>C1466*59%</f>
        <v>27341541.93</v>
      </c>
      <c r="Z1466" s="230">
        <f>C1466*41%</f>
        <v>19000054.559999999</v>
      </c>
      <c r="AA1466" s="229"/>
      <c r="AB1466" s="230"/>
      <c r="AC1466" s="231"/>
      <c r="AD1466" s="231">
        <v>2025</v>
      </c>
      <c r="AE1466" s="231">
        <v>2026</v>
      </c>
      <c r="AF1466" s="91"/>
      <c r="AG1466" s="262"/>
    </row>
    <row r="1467" spans="1:33" s="148" customFormat="1" ht="24" customHeight="1">
      <c r="A1467" s="935" t="s">
        <v>262</v>
      </c>
      <c r="B1467" s="935"/>
      <c r="C1467" s="305">
        <f>SUM(C1462:C1466)</f>
        <v>202649108.81999999</v>
      </c>
      <c r="D1467" s="305">
        <f t="shared" ref="D1467:AC1467" si="685">SUM(D1462:D1466)</f>
        <v>0</v>
      </c>
      <c r="E1467" s="305">
        <f t="shared" si="685"/>
        <v>0</v>
      </c>
      <c r="F1467" s="305">
        <f t="shared" si="685"/>
        <v>0</v>
      </c>
      <c r="G1467" s="305">
        <f t="shared" si="685"/>
        <v>0</v>
      </c>
      <c r="H1467" s="305">
        <f t="shared" si="685"/>
        <v>0</v>
      </c>
      <c r="I1467" s="305">
        <f t="shared" si="685"/>
        <v>0</v>
      </c>
      <c r="J1467" s="305">
        <f t="shared" si="685"/>
        <v>0</v>
      </c>
      <c r="K1467" s="305">
        <f t="shared" si="685"/>
        <v>0</v>
      </c>
      <c r="L1467" s="305">
        <f t="shared" si="685"/>
        <v>0</v>
      </c>
      <c r="M1467" s="305">
        <f t="shared" si="685"/>
        <v>0</v>
      </c>
      <c r="N1467" s="305">
        <f t="shared" si="685"/>
        <v>0</v>
      </c>
      <c r="O1467" s="305">
        <f t="shared" si="685"/>
        <v>0</v>
      </c>
      <c r="P1467" s="305">
        <f t="shared" si="685"/>
        <v>63573071.439999998</v>
      </c>
      <c r="Q1467" s="305">
        <f t="shared" si="685"/>
        <v>0</v>
      </c>
      <c r="R1467" s="305">
        <f t="shared" si="685"/>
        <v>126707781.90000001</v>
      </c>
      <c r="S1467" s="305">
        <f t="shared" si="685"/>
        <v>0</v>
      </c>
      <c r="T1467" s="305">
        <f t="shared" si="685"/>
        <v>0</v>
      </c>
      <c r="U1467" s="305">
        <f t="shared" si="685"/>
        <v>0</v>
      </c>
      <c r="V1467" s="305">
        <f t="shared" si="685"/>
        <v>9514042.6699999999</v>
      </c>
      <c r="W1467" s="305">
        <f t="shared" si="685"/>
        <v>2854212.81</v>
      </c>
      <c r="X1467" s="305">
        <f t="shared" si="685"/>
        <v>0</v>
      </c>
      <c r="Y1467" s="305">
        <f t="shared" si="685"/>
        <v>97728891.75</v>
      </c>
      <c r="Z1467" s="305">
        <f t="shared" si="685"/>
        <v>67913297.670000002</v>
      </c>
      <c r="AA1467" s="305">
        <f t="shared" si="685"/>
        <v>0</v>
      </c>
      <c r="AB1467" s="305">
        <f t="shared" si="685"/>
        <v>37006919.399999999</v>
      </c>
      <c r="AC1467" s="305">
        <f t="shared" si="685"/>
        <v>0</v>
      </c>
      <c r="AD1467" s="800" t="s">
        <v>29</v>
      </c>
      <c r="AE1467" s="800" t="s">
        <v>29</v>
      </c>
      <c r="AF1467" s="147"/>
      <c r="AG1467" s="147"/>
    </row>
    <row r="1468" spans="1:33" ht="24" customHeight="1">
      <c r="A1468" s="884" t="s">
        <v>1302</v>
      </c>
      <c r="B1468" s="884"/>
      <c r="C1468" s="884"/>
      <c r="D1468" s="884"/>
      <c r="E1468" s="884"/>
      <c r="F1468" s="884"/>
      <c r="G1468" s="884"/>
      <c r="H1468" s="884"/>
      <c r="I1468" s="884"/>
      <c r="J1468" s="884"/>
      <c r="K1468" s="884"/>
      <c r="L1468" s="884"/>
      <c r="M1468" s="884"/>
      <c r="N1468" s="884"/>
      <c r="O1468" s="884"/>
      <c r="P1468" s="884"/>
      <c r="Q1468" s="884"/>
      <c r="R1468" s="884"/>
      <c r="S1468" s="884"/>
      <c r="T1468" s="884"/>
      <c r="U1468" s="884"/>
      <c r="V1468" s="884"/>
      <c r="W1468" s="884"/>
      <c r="X1468" s="884"/>
      <c r="Y1468" s="884"/>
      <c r="Z1468" s="884"/>
      <c r="AA1468" s="884"/>
      <c r="AB1468" s="884"/>
      <c r="AC1468" s="884"/>
      <c r="AD1468" s="884"/>
      <c r="AE1468" s="884"/>
      <c r="AF1468" s="808"/>
      <c r="AG1468" s="806"/>
    </row>
    <row r="1469" spans="1:33" ht="24" customHeight="1">
      <c r="A1469" s="585">
        <f>A1466+1</f>
        <v>353</v>
      </c>
      <c r="B1469" s="586" t="s">
        <v>1101</v>
      </c>
      <c r="C1469" s="587">
        <f t="shared" ref="C1469:C1471" si="686">D1469+F1469+G1469+H1469+I1469+K1469+L1469+M1469+O1469+P1469+Q1469+R1469+S1469+W1469+V1469+X1469</f>
        <v>14972715.4</v>
      </c>
      <c r="D1469" s="580"/>
      <c r="E1469" s="580"/>
      <c r="F1469" s="580"/>
      <c r="G1469" s="578"/>
      <c r="H1469" s="582"/>
      <c r="I1469" s="582"/>
      <c r="J1469" s="581"/>
      <c r="K1469" s="580"/>
      <c r="L1469" s="578"/>
      <c r="M1469" s="579"/>
      <c r="N1469" s="579"/>
      <c r="O1469" s="579"/>
      <c r="P1469" s="580">
        <v>14058887.689999999</v>
      </c>
      <c r="Q1469" s="580"/>
      <c r="R1469" s="580"/>
      <c r="S1469" s="582"/>
      <c r="T1469" s="582"/>
      <c r="U1469" s="582"/>
      <c r="V1469" s="634">
        <v>702944.39</v>
      </c>
      <c r="W1469" s="584">
        <f>ROUND((D1469+F1469+G1469+H1469+I1469+K1469+L1469+M1469+O1469+P1469+Q1469+R1469+S1469)*1.5%,2)</f>
        <v>210883.32</v>
      </c>
      <c r="X1469" s="581"/>
      <c r="Y1469" s="581"/>
      <c r="Z1469" s="581"/>
      <c r="AA1469" s="581"/>
      <c r="AB1469" s="584">
        <f t="shared" ref="AB1469:AB1471" si="687">C1469</f>
        <v>14972715.4</v>
      </c>
      <c r="AC1469" s="804"/>
      <c r="AD1469" s="585">
        <v>2025</v>
      </c>
      <c r="AE1469" s="585">
        <v>2026</v>
      </c>
      <c r="AF1469" s="571"/>
      <c r="AG1469" s="571"/>
    </row>
    <row r="1470" spans="1:33" ht="24" customHeight="1">
      <c r="A1470" s="585">
        <f>A1469+1</f>
        <v>354</v>
      </c>
      <c r="B1470" s="586" t="s">
        <v>1102</v>
      </c>
      <c r="C1470" s="587">
        <f t="shared" si="686"/>
        <v>15127248.67</v>
      </c>
      <c r="D1470" s="580"/>
      <c r="E1470" s="580"/>
      <c r="F1470" s="580"/>
      <c r="G1470" s="578"/>
      <c r="H1470" s="582"/>
      <c r="I1470" s="582"/>
      <c r="J1470" s="581"/>
      <c r="K1470" s="580"/>
      <c r="L1470" s="578"/>
      <c r="M1470" s="579"/>
      <c r="N1470" s="579"/>
      <c r="O1470" s="579"/>
      <c r="P1470" s="580">
        <v>14203989.359999999</v>
      </c>
      <c r="Q1470" s="580"/>
      <c r="R1470" s="580"/>
      <c r="S1470" s="582"/>
      <c r="T1470" s="582"/>
      <c r="U1470" s="582"/>
      <c r="V1470" s="634">
        <v>710199.47</v>
      </c>
      <c r="W1470" s="584">
        <f t="shared" ref="W1470:W1471" si="688">ROUND((D1470+F1470+G1470+H1470+I1470+K1470+L1470+M1470+O1470+P1470+Q1470+R1470+S1470)*1.5%,2)</f>
        <v>213059.84</v>
      </c>
      <c r="X1470" s="581"/>
      <c r="Y1470" s="581"/>
      <c r="Z1470" s="581"/>
      <c r="AA1470" s="581"/>
      <c r="AB1470" s="584">
        <f t="shared" si="687"/>
        <v>15127248.67</v>
      </c>
      <c r="AC1470" s="804"/>
      <c r="AD1470" s="585">
        <v>2025</v>
      </c>
      <c r="AE1470" s="585">
        <v>2026</v>
      </c>
      <c r="AF1470" s="571"/>
      <c r="AG1470" s="571"/>
    </row>
    <row r="1471" spans="1:33" ht="24" customHeight="1">
      <c r="A1471" s="585">
        <f t="shared" ref="A1471:A1477" si="689">A1470+1</f>
        <v>355</v>
      </c>
      <c r="B1471" s="586" t="s">
        <v>1103</v>
      </c>
      <c r="C1471" s="587">
        <f t="shared" si="686"/>
        <v>8589593</v>
      </c>
      <c r="D1471" s="580"/>
      <c r="E1471" s="580"/>
      <c r="F1471" s="580"/>
      <c r="G1471" s="578"/>
      <c r="H1471" s="582"/>
      <c r="I1471" s="582"/>
      <c r="J1471" s="581"/>
      <c r="K1471" s="580"/>
      <c r="L1471" s="578"/>
      <c r="M1471" s="579"/>
      <c r="N1471" s="579"/>
      <c r="O1471" s="579"/>
      <c r="P1471" s="580">
        <v>8065345.54</v>
      </c>
      <c r="Q1471" s="580"/>
      <c r="R1471" s="580"/>
      <c r="S1471" s="582"/>
      <c r="T1471" s="582"/>
      <c r="U1471" s="582"/>
      <c r="V1471" s="634">
        <v>403267.28</v>
      </c>
      <c r="W1471" s="584">
        <f t="shared" si="688"/>
        <v>120980.18</v>
      </c>
      <c r="X1471" s="581"/>
      <c r="Y1471" s="581"/>
      <c r="Z1471" s="581"/>
      <c r="AA1471" s="581"/>
      <c r="AB1471" s="584">
        <f t="shared" si="687"/>
        <v>8589593</v>
      </c>
      <c r="AC1471" s="804"/>
      <c r="AD1471" s="585">
        <v>2025</v>
      </c>
      <c r="AE1471" s="585">
        <v>2026</v>
      </c>
      <c r="AF1471" s="571"/>
      <c r="AG1471" s="571"/>
    </row>
    <row r="1472" spans="1:33" s="26" customFormat="1" ht="24" customHeight="1">
      <c r="A1472" s="585">
        <f t="shared" si="689"/>
        <v>356</v>
      </c>
      <c r="B1472" s="20" t="s">
        <v>244</v>
      </c>
      <c r="C1472" s="4">
        <f>D1472+F1472+G1472+H1472+I1472+K1472+L1472+M1472+O1472+P1472+Q1472+R1472+S1472+W1472+V1472+X1472</f>
        <v>12113595.02</v>
      </c>
      <c r="D1472" s="9">
        <f>660.21*1647.6</f>
        <v>1087762</v>
      </c>
      <c r="E1472" s="9"/>
      <c r="F1472" s="9"/>
      <c r="G1472" s="12">
        <f>620.83*1647.6</f>
        <v>1022879.51</v>
      </c>
      <c r="H1472" s="13">
        <f>665.62*1647.6</f>
        <v>1096675.51</v>
      </c>
      <c r="I1472" s="13">
        <f>3990.81*1647.6</f>
        <v>6575258.5599999996</v>
      </c>
      <c r="J1472" s="21"/>
      <c r="K1472" s="9"/>
      <c r="L1472" s="12">
        <f>616.25*1647.6</f>
        <v>1015333.5</v>
      </c>
      <c r="M1472" s="22"/>
      <c r="N1472" s="22"/>
      <c r="O1472" s="22"/>
      <c r="P1472" s="9"/>
      <c r="Q1472" s="9"/>
      <c r="R1472" s="9"/>
      <c r="S1472" s="13"/>
      <c r="T1472" s="110"/>
      <c r="U1472" s="110"/>
      <c r="V1472" s="10">
        <v>1153717.3</v>
      </c>
      <c r="W1472" s="24">
        <f>ROUND((D1472+F1472+G1472+H1472+I1472+K1472+L1472+M1472+O1472+P1472+Q1472+R1472+S1472)*1.5%,2)</f>
        <v>161968.64000000001</v>
      </c>
      <c r="X1472" s="21"/>
      <c r="Y1472" s="21"/>
      <c r="Z1472" s="21"/>
      <c r="AA1472" s="21"/>
      <c r="AB1472" s="24">
        <f>C1472</f>
        <v>12113595.02</v>
      </c>
      <c r="AC1472" s="18"/>
      <c r="AD1472" s="18">
        <v>2025</v>
      </c>
      <c r="AE1472" s="18">
        <v>2025</v>
      </c>
      <c r="AF1472" s="25"/>
      <c r="AG1472" s="91"/>
    </row>
    <row r="1473" spans="1:33" s="26" customFormat="1" ht="24" customHeight="1">
      <c r="A1473" s="585">
        <f t="shared" si="689"/>
        <v>357</v>
      </c>
      <c r="B1473" s="20" t="s">
        <v>941</v>
      </c>
      <c r="C1473" s="4">
        <f>D1473+F1473+G1473+H1473+I1473+K1473+L1473+M1473+O1473+P1473+Q1473+R1473+S1473+W1473+V1473+X1473</f>
        <v>11095578.779999999</v>
      </c>
      <c r="D1473" s="9">
        <f>589.88*1411.6</f>
        <v>832674.61</v>
      </c>
      <c r="E1473" s="9"/>
      <c r="F1473" s="9"/>
      <c r="G1473" s="12"/>
      <c r="H1473" s="13">
        <f>1074.75*1411.6</f>
        <v>1517117.1</v>
      </c>
      <c r="I1473" s="13">
        <f>4857.9*1411.6</f>
        <v>6857411.6399999997</v>
      </c>
      <c r="J1473" s="21"/>
      <c r="K1473" s="9"/>
      <c r="L1473" s="12">
        <f>616.25*1411.6</f>
        <v>869898.5</v>
      </c>
      <c r="M1473" s="22"/>
      <c r="N1473" s="22"/>
      <c r="O1473" s="22"/>
      <c r="P1473" s="9"/>
      <c r="Q1473" s="9"/>
      <c r="R1473" s="9"/>
      <c r="S1473" s="13"/>
      <c r="T1473" s="110"/>
      <c r="U1473" s="110"/>
      <c r="V1473" s="10">
        <v>867320.4</v>
      </c>
      <c r="W1473" s="24">
        <f t="shared" ref="W1473:W1477" si="690">ROUND((D1473+F1473+G1473+H1473+I1473+K1473+L1473+M1473+O1473+P1473+Q1473+R1473+S1473)*1.5%,2)</f>
        <v>151156.53</v>
      </c>
      <c r="X1473" s="21"/>
      <c r="Y1473" s="21"/>
      <c r="Z1473" s="21"/>
      <c r="AA1473" s="21"/>
      <c r="AB1473" s="24">
        <f t="shared" ref="AB1473:AB1477" si="691">C1473</f>
        <v>11095578.779999999</v>
      </c>
      <c r="AC1473" s="18"/>
      <c r="AD1473" s="18">
        <v>2025</v>
      </c>
      <c r="AE1473" s="18">
        <v>2025</v>
      </c>
      <c r="AF1473" s="25"/>
      <c r="AG1473" s="91"/>
    </row>
    <row r="1474" spans="1:33" s="26" customFormat="1" ht="24" customHeight="1">
      <c r="A1474" s="585">
        <f t="shared" si="689"/>
        <v>358</v>
      </c>
      <c r="B1474" s="586" t="s">
        <v>326</v>
      </c>
      <c r="C1474" s="587">
        <f t="shared" ref="C1474" si="692">D1474+F1474+G1474+H1474+I1474+K1474+L1474+M1474+O1474+P1474+Q1474+R1474+S1474+W1474+V1474+X1474</f>
        <v>18812448.449999999</v>
      </c>
      <c r="D1474" s="580"/>
      <c r="E1474" s="580"/>
      <c r="F1474" s="580"/>
      <c r="G1474" s="578"/>
      <c r="H1474" s="582"/>
      <c r="I1474" s="582"/>
      <c r="J1474" s="581"/>
      <c r="K1474" s="580"/>
      <c r="L1474" s="578"/>
      <c r="M1474" s="579"/>
      <c r="N1474" s="579"/>
      <c r="O1474" s="579"/>
      <c r="P1474" s="580">
        <v>17664270.850000001</v>
      </c>
      <c r="Q1474" s="580"/>
      <c r="R1474" s="580"/>
      <c r="S1474" s="582"/>
      <c r="T1474" s="582"/>
      <c r="U1474" s="582"/>
      <c r="V1474" s="634">
        <v>883213.54</v>
      </c>
      <c r="W1474" s="584">
        <f t="shared" si="690"/>
        <v>264964.06</v>
      </c>
      <c r="X1474" s="581"/>
      <c r="Y1474" s="581"/>
      <c r="Z1474" s="581"/>
      <c r="AA1474" s="581"/>
      <c r="AB1474" s="584">
        <f t="shared" si="691"/>
        <v>18812448.449999999</v>
      </c>
      <c r="AC1474" s="585"/>
      <c r="AD1474" s="585">
        <v>2025</v>
      </c>
      <c r="AE1474" s="585">
        <v>2025</v>
      </c>
      <c r="AF1474" s="91"/>
      <c r="AG1474" s="91"/>
    </row>
    <row r="1475" spans="1:33" s="26" customFormat="1" ht="24" customHeight="1">
      <c r="A1475" s="585">
        <f t="shared" si="689"/>
        <v>359</v>
      </c>
      <c r="B1475" s="20" t="s">
        <v>327</v>
      </c>
      <c r="C1475" s="4">
        <f t="shared" ref="C1475:C1477" si="693">D1475+F1475+G1475+H1475+I1475+K1475+L1475+M1475+O1475+P1475+Q1475+R1475+S1475+W1475+V1475+X1475</f>
        <v>11132428.710000001</v>
      </c>
      <c r="D1475" s="9">
        <f>589.88*1309</f>
        <v>772152.92</v>
      </c>
      <c r="E1475" s="9"/>
      <c r="F1475" s="9"/>
      <c r="G1475" s="12">
        <f>596.38*1309</f>
        <v>780661.42</v>
      </c>
      <c r="H1475" s="13">
        <f>1074.75*1309</f>
        <v>1406847.75</v>
      </c>
      <c r="I1475" s="13">
        <f>4857.9*1309</f>
        <v>6358991.0999999996</v>
      </c>
      <c r="J1475" s="21"/>
      <c r="K1475" s="9"/>
      <c r="L1475" s="12">
        <f>616.25*1309</f>
        <v>806671.25</v>
      </c>
      <c r="M1475" s="22"/>
      <c r="N1475" s="22"/>
      <c r="O1475" s="22"/>
      <c r="P1475" s="9"/>
      <c r="Q1475" s="9"/>
      <c r="R1475" s="9"/>
      <c r="S1475" s="13"/>
      <c r="T1475" s="110"/>
      <c r="U1475" s="110"/>
      <c r="V1475" s="10">
        <v>855224.4</v>
      </c>
      <c r="W1475" s="24">
        <f t="shared" si="690"/>
        <v>151879.87</v>
      </c>
      <c r="X1475" s="21"/>
      <c r="Y1475" s="21"/>
      <c r="Z1475" s="21"/>
      <c r="AA1475" s="21"/>
      <c r="AB1475" s="24">
        <f t="shared" si="691"/>
        <v>11132428.710000001</v>
      </c>
      <c r="AC1475" s="18"/>
      <c r="AD1475" s="18">
        <v>2025</v>
      </c>
      <c r="AE1475" s="18">
        <v>2025</v>
      </c>
      <c r="AF1475" s="25"/>
      <c r="AG1475" s="91"/>
    </row>
    <row r="1476" spans="1:33" s="26" customFormat="1" ht="24" customHeight="1">
      <c r="A1476" s="585">
        <f t="shared" si="689"/>
        <v>360</v>
      </c>
      <c r="B1476" s="20" t="s">
        <v>328</v>
      </c>
      <c r="C1476" s="4">
        <f t="shared" si="693"/>
        <v>3547082.6</v>
      </c>
      <c r="D1476" s="9">
        <f>589.88*1288.6</f>
        <v>760119.37</v>
      </c>
      <c r="E1476" s="9"/>
      <c r="F1476" s="9"/>
      <c r="G1476" s="12"/>
      <c r="H1476" s="13">
        <f>1074.75*1288.6</f>
        <v>1384922.85</v>
      </c>
      <c r="I1476" s="13"/>
      <c r="J1476" s="21"/>
      <c r="K1476" s="9"/>
      <c r="L1476" s="12">
        <f>690.32*1288.6</f>
        <v>889546.35</v>
      </c>
      <c r="M1476" s="22"/>
      <c r="N1476" s="22"/>
      <c r="O1476" s="22"/>
      <c r="P1476" s="9"/>
      <c r="Q1476" s="9"/>
      <c r="R1476" s="9"/>
      <c r="S1476" s="13"/>
      <c r="T1476" s="110"/>
      <c r="U1476" s="110"/>
      <c r="V1476" s="11">
        <v>466975.2</v>
      </c>
      <c r="W1476" s="24">
        <f t="shared" si="690"/>
        <v>45518.83</v>
      </c>
      <c r="X1476" s="21"/>
      <c r="Y1476" s="21"/>
      <c r="Z1476" s="21"/>
      <c r="AA1476" s="21"/>
      <c r="AB1476" s="24">
        <f t="shared" si="691"/>
        <v>3547082.6</v>
      </c>
      <c r="AC1476" s="18"/>
      <c r="AD1476" s="18">
        <v>2025</v>
      </c>
      <c r="AE1476" s="18">
        <v>2025</v>
      </c>
      <c r="AF1476" s="25"/>
      <c r="AG1476" s="91"/>
    </row>
    <row r="1477" spans="1:33" s="26" customFormat="1" ht="24" customHeight="1">
      <c r="A1477" s="585">
        <f t="shared" si="689"/>
        <v>361</v>
      </c>
      <c r="B1477" s="20" t="s">
        <v>329</v>
      </c>
      <c r="C1477" s="4">
        <f t="shared" si="693"/>
        <v>1163818.1000000001</v>
      </c>
      <c r="D1477" s="9">
        <f>589.88*1440.4</f>
        <v>849663.15</v>
      </c>
      <c r="E1477" s="9"/>
      <c r="F1477" s="9"/>
      <c r="G1477" s="12"/>
      <c r="H1477" s="13"/>
      <c r="I1477" s="13"/>
      <c r="J1477" s="21"/>
      <c r="K1477" s="9"/>
      <c r="L1477" s="12"/>
      <c r="M1477" s="22"/>
      <c r="N1477" s="22"/>
      <c r="O1477" s="22"/>
      <c r="P1477" s="9"/>
      <c r="Q1477" s="9"/>
      <c r="R1477" s="9"/>
      <c r="S1477" s="13"/>
      <c r="T1477" s="110"/>
      <c r="U1477" s="110"/>
      <c r="V1477" s="11">
        <v>301410</v>
      </c>
      <c r="W1477" s="24">
        <f t="shared" si="690"/>
        <v>12744.95</v>
      </c>
      <c r="X1477" s="21"/>
      <c r="Y1477" s="21"/>
      <c r="Z1477" s="21"/>
      <c r="AA1477" s="21"/>
      <c r="AB1477" s="24">
        <f t="shared" si="691"/>
        <v>1163818.1000000001</v>
      </c>
      <c r="AC1477" s="18"/>
      <c r="AD1477" s="18">
        <v>2025</v>
      </c>
      <c r="AE1477" s="18">
        <v>2025</v>
      </c>
      <c r="AF1477" s="25"/>
      <c r="AG1477" s="91"/>
    </row>
    <row r="1478" spans="1:33" s="148" customFormat="1" ht="24" customHeight="1">
      <c r="A1478" s="883" t="s">
        <v>262</v>
      </c>
      <c r="B1478" s="883"/>
      <c r="C1478" s="16">
        <f>SUM(C1469:C1477)</f>
        <v>96554508.730000004</v>
      </c>
      <c r="D1478" s="16">
        <f t="shared" ref="D1478:AC1478" si="694">SUM(D1469:D1477)</f>
        <v>4302372.05</v>
      </c>
      <c r="E1478" s="16">
        <f t="shared" si="694"/>
        <v>0</v>
      </c>
      <c r="F1478" s="16">
        <f t="shared" si="694"/>
        <v>0</v>
      </c>
      <c r="G1478" s="16">
        <f t="shared" si="694"/>
        <v>1803540.93</v>
      </c>
      <c r="H1478" s="16">
        <f t="shared" si="694"/>
        <v>5405563.21</v>
      </c>
      <c r="I1478" s="16">
        <f t="shared" si="694"/>
        <v>19791661.300000001</v>
      </c>
      <c r="J1478" s="16">
        <f t="shared" si="694"/>
        <v>0</v>
      </c>
      <c r="K1478" s="16">
        <f t="shared" si="694"/>
        <v>0</v>
      </c>
      <c r="L1478" s="16">
        <f t="shared" si="694"/>
        <v>3581449.6</v>
      </c>
      <c r="M1478" s="16">
        <f t="shared" si="694"/>
        <v>0</v>
      </c>
      <c r="N1478" s="16">
        <f t="shared" si="694"/>
        <v>0</v>
      </c>
      <c r="O1478" s="16">
        <f t="shared" si="694"/>
        <v>0</v>
      </c>
      <c r="P1478" s="16">
        <f t="shared" si="694"/>
        <v>53992493.439999998</v>
      </c>
      <c r="Q1478" s="16">
        <f t="shared" si="694"/>
        <v>0</v>
      </c>
      <c r="R1478" s="16">
        <f t="shared" si="694"/>
        <v>0</v>
      </c>
      <c r="S1478" s="16">
        <f t="shared" si="694"/>
        <v>0</v>
      </c>
      <c r="T1478" s="16">
        <f t="shared" si="694"/>
        <v>0</v>
      </c>
      <c r="U1478" s="16">
        <f t="shared" si="694"/>
        <v>0</v>
      </c>
      <c r="V1478" s="16">
        <f t="shared" si="694"/>
        <v>6344271.9800000004</v>
      </c>
      <c r="W1478" s="16">
        <f t="shared" si="694"/>
        <v>1333156.22</v>
      </c>
      <c r="X1478" s="16">
        <f t="shared" si="694"/>
        <v>0</v>
      </c>
      <c r="Y1478" s="16">
        <f t="shared" si="694"/>
        <v>0</v>
      </c>
      <c r="Z1478" s="16">
        <f t="shared" si="694"/>
        <v>0</v>
      </c>
      <c r="AA1478" s="16">
        <f t="shared" si="694"/>
        <v>0</v>
      </c>
      <c r="AB1478" s="16">
        <f t="shared" si="694"/>
        <v>96554508.730000004</v>
      </c>
      <c r="AC1478" s="16">
        <f t="shared" si="694"/>
        <v>0</v>
      </c>
      <c r="AD1478" s="798" t="s">
        <v>29</v>
      </c>
      <c r="AE1478" s="798" t="s">
        <v>29</v>
      </c>
      <c r="AF1478" s="146"/>
      <c r="AG1478" s="147"/>
    </row>
    <row r="1479" spans="1:33" s="148" customFormat="1" ht="39" customHeight="1">
      <c r="A1479" s="890" t="s">
        <v>1309</v>
      </c>
      <c r="B1479" s="890"/>
      <c r="C1479" s="16">
        <f>C1467+C1478</f>
        <v>299203617.55000001</v>
      </c>
      <c r="D1479" s="16">
        <f t="shared" ref="D1479:AC1479" si="695">D1467+D1478</f>
        <v>4302372.05</v>
      </c>
      <c r="E1479" s="16">
        <f t="shared" si="695"/>
        <v>0</v>
      </c>
      <c r="F1479" s="16">
        <f t="shared" si="695"/>
        <v>0</v>
      </c>
      <c r="G1479" s="16">
        <f t="shared" si="695"/>
        <v>1803540.93</v>
      </c>
      <c r="H1479" s="16">
        <f t="shared" si="695"/>
        <v>5405563.21</v>
      </c>
      <c r="I1479" s="16">
        <f t="shared" si="695"/>
        <v>19791661.300000001</v>
      </c>
      <c r="J1479" s="16">
        <f t="shared" si="695"/>
        <v>0</v>
      </c>
      <c r="K1479" s="16">
        <f t="shared" si="695"/>
        <v>0</v>
      </c>
      <c r="L1479" s="16">
        <f t="shared" si="695"/>
        <v>3581449.6</v>
      </c>
      <c r="M1479" s="16">
        <f t="shared" si="695"/>
        <v>0</v>
      </c>
      <c r="N1479" s="16">
        <f t="shared" si="695"/>
        <v>0</v>
      </c>
      <c r="O1479" s="16">
        <f t="shared" si="695"/>
        <v>0</v>
      </c>
      <c r="P1479" s="16">
        <f t="shared" si="695"/>
        <v>117565564.88</v>
      </c>
      <c r="Q1479" s="16">
        <f t="shared" si="695"/>
        <v>0</v>
      </c>
      <c r="R1479" s="16">
        <f t="shared" si="695"/>
        <v>126707781.90000001</v>
      </c>
      <c r="S1479" s="16">
        <f t="shared" si="695"/>
        <v>0</v>
      </c>
      <c r="T1479" s="16">
        <f t="shared" si="695"/>
        <v>0</v>
      </c>
      <c r="U1479" s="16">
        <f t="shared" si="695"/>
        <v>0</v>
      </c>
      <c r="V1479" s="16">
        <f t="shared" si="695"/>
        <v>15858314.65</v>
      </c>
      <c r="W1479" s="16">
        <f t="shared" si="695"/>
        <v>4187369.03</v>
      </c>
      <c r="X1479" s="16">
        <f t="shared" si="695"/>
        <v>0</v>
      </c>
      <c r="Y1479" s="16">
        <f t="shared" si="695"/>
        <v>97728891.75</v>
      </c>
      <c r="Z1479" s="16">
        <f t="shared" si="695"/>
        <v>67913297.670000002</v>
      </c>
      <c r="AA1479" s="16">
        <f t="shared" si="695"/>
        <v>0</v>
      </c>
      <c r="AB1479" s="16">
        <f t="shared" si="695"/>
        <v>133561428.13</v>
      </c>
      <c r="AC1479" s="16">
        <f t="shared" si="695"/>
        <v>0</v>
      </c>
      <c r="AD1479" s="798" t="s">
        <v>29</v>
      </c>
      <c r="AE1479" s="798" t="s">
        <v>29</v>
      </c>
      <c r="AF1479" s="146"/>
      <c r="AG1479" s="147"/>
    </row>
    <row r="1480" spans="1:33" s="148" customFormat="1" ht="24" customHeight="1">
      <c r="A1480" s="885" t="s">
        <v>1287</v>
      </c>
      <c r="B1480" s="886"/>
      <c r="C1480" s="886"/>
      <c r="D1480" s="886"/>
      <c r="E1480" s="886"/>
      <c r="F1480" s="886"/>
      <c r="G1480" s="886"/>
      <c r="H1480" s="886"/>
      <c r="I1480" s="886"/>
      <c r="J1480" s="886"/>
      <c r="K1480" s="886"/>
      <c r="L1480" s="886"/>
      <c r="M1480" s="886"/>
      <c r="N1480" s="886"/>
      <c r="O1480" s="886"/>
      <c r="P1480" s="886"/>
      <c r="Q1480" s="886"/>
      <c r="R1480" s="886"/>
      <c r="S1480" s="886"/>
      <c r="T1480" s="886"/>
      <c r="U1480" s="886"/>
      <c r="V1480" s="886"/>
      <c r="W1480" s="886"/>
      <c r="X1480" s="886"/>
      <c r="Y1480" s="886"/>
      <c r="Z1480" s="886"/>
      <c r="AA1480" s="886"/>
      <c r="AB1480" s="886"/>
      <c r="AC1480" s="886"/>
      <c r="AD1480" s="886"/>
      <c r="AE1480" s="887"/>
      <c r="AF1480" s="146"/>
      <c r="AG1480" s="147"/>
    </row>
    <row r="1481" spans="1:33" ht="24" customHeight="1">
      <c r="A1481" s="884" t="s">
        <v>1304</v>
      </c>
      <c r="B1481" s="884"/>
      <c r="C1481" s="884"/>
      <c r="D1481" s="884"/>
      <c r="E1481" s="884"/>
      <c r="F1481" s="884"/>
      <c r="G1481" s="884"/>
      <c r="H1481" s="884"/>
      <c r="I1481" s="884"/>
      <c r="J1481" s="884"/>
      <c r="K1481" s="884"/>
      <c r="L1481" s="884"/>
      <c r="M1481" s="884"/>
      <c r="N1481" s="884"/>
      <c r="O1481" s="884"/>
      <c r="P1481" s="884"/>
      <c r="Q1481" s="884"/>
      <c r="R1481" s="884"/>
      <c r="S1481" s="884"/>
      <c r="T1481" s="884"/>
      <c r="U1481" s="884"/>
      <c r="V1481" s="884"/>
      <c r="W1481" s="884"/>
      <c r="X1481" s="884"/>
      <c r="Y1481" s="884"/>
      <c r="Z1481" s="884"/>
      <c r="AA1481" s="884"/>
      <c r="AB1481" s="884"/>
      <c r="AC1481" s="884"/>
      <c r="AD1481" s="884"/>
      <c r="AE1481" s="884"/>
      <c r="AF1481" s="808"/>
      <c r="AG1481" s="806"/>
    </row>
    <row r="1482" spans="1:33" s="26" customFormat="1" ht="24" customHeight="1">
      <c r="A1482" s="18">
        <f>A1477+1</f>
        <v>362</v>
      </c>
      <c r="B1482" s="59" t="s">
        <v>248</v>
      </c>
      <c r="C1482" s="4">
        <f>D1482+F1482+G1482+H1482+I1482+K1482+L1482+M1482+O1482+P1482+Q1482+R1482+S1482+W1482+V1482+X1482</f>
        <v>11149159.380000001</v>
      </c>
      <c r="D1482" s="9"/>
      <c r="E1482" s="9"/>
      <c r="F1482" s="9"/>
      <c r="G1482" s="12"/>
      <c r="H1482" s="13"/>
      <c r="I1482" s="13"/>
      <c r="J1482" s="21"/>
      <c r="K1482" s="9"/>
      <c r="L1482" s="12"/>
      <c r="M1482" s="22"/>
      <c r="N1482" s="22"/>
      <c r="O1482" s="22"/>
      <c r="P1482" s="9"/>
      <c r="Q1482" s="9"/>
      <c r="R1482" s="9">
        <f>ROUND(3911.7*2647.87,2)</f>
        <v>10357673.08</v>
      </c>
      <c r="S1482" s="13"/>
      <c r="T1482" s="110"/>
      <c r="U1482" s="110"/>
      <c r="V1482" s="3">
        <v>636121.19999999995</v>
      </c>
      <c r="W1482" s="24">
        <f>ROUND((D1482+F1482+G1482+H1482+I1482+K1482+L1482+M1482+O1482+P1482+Q1482+R1482+S1482)*1.5%,2)</f>
        <v>155365.1</v>
      </c>
      <c r="X1482" s="21"/>
      <c r="Y1482" s="21"/>
      <c r="Z1482" s="21"/>
      <c r="AA1482" s="21"/>
      <c r="AB1482" s="24">
        <f>C1482</f>
        <v>11149159.380000001</v>
      </c>
      <c r="AC1482" s="18"/>
      <c r="AD1482" s="18">
        <v>2025</v>
      </c>
      <c r="AE1482" s="18">
        <v>2025</v>
      </c>
      <c r="AF1482" s="25"/>
      <c r="AG1482" s="91"/>
    </row>
    <row r="1483" spans="1:33" s="148" customFormat="1" ht="24" customHeight="1">
      <c r="A1483" s="883" t="s">
        <v>262</v>
      </c>
      <c r="B1483" s="883"/>
      <c r="C1483" s="16">
        <f t="shared" ref="C1483:AB1483" si="696">SUM(C1482:C1482)</f>
        <v>11149159.380000001</v>
      </c>
      <c r="D1483" s="6">
        <f t="shared" si="696"/>
        <v>0</v>
      </c>
      <c r="E1483" s="6">
        <f t="shared" si="696"/>
        <v>0</v>
      </c>
      <c r="F1483" s="6">
        <f t="shared" si="696"/>
        <v>0</v>
      </c>
      <c r="G1483" s="6">
        <f t="shared" si="696"/>
        <v>0</v>
      </c>
      <c r="H1483" s="6">
        <f t="shared" si="696"/>
        <v>0</v>
      </c>
      <c r="I1483" s="6">
        <f t="shared" si="696"/>
        <v>0</v>
      </c>
      <c r="J1483" s="6">
        <f t="shared" si="696"/>
        <v>0</v>
      </c>
      <c r="K1483" s="6">
        <f t="shared" si="696"/>
        <v>0</v>
      </c>
      <c r="L1483" s="6">
        <f t="shared" si="696"/>
        <v>0</v>
      </c>
      <c r="M1483" s="6">
        <f t="shared" si="696"/>
        <v>0</v>
      </c>
      <c r="N1483" s="6">
        <f t="shared" si="696"/>
        <v>0</v>
      </c>
      <c r="O1483" s="6">
        <f t="shared" si="696"/>
        <v>0</v>
      </c>
      <c r="P1483" s="6">
        <f t="shared" si="696"/>
        <v>0</v>
      </c>
      <c r="Q1483" s="6">
        <f t="shared" si="696"/>
        <v>0</v>
      </c>
      <c r="R1483" s="6">
        <f t="shared" si="696"/>
        <v>10357673.08</v>
      </c>
      <c r="S1483" s="6">
        <f t="shared" si="696"/>
        <v>0</v>
      </c>
      <c r="T1483" s="140"/>
      <c r="U1483" s="140"/>
      <c r="V1483" s="16">
        <f t="shared" si="696"/>
        <v>636121.19999999995</v>
      </c>
      <c r="W1483" s="16">
        <f t="shared" si="696"/>
        <v>155365.1</v>
      </c>
      <c r="X1483" s="16">
        <f t="shared" si="696"/>
        <v>0</v>
      </c>
      <c r="Y1483" s="16">
        <f t="shared" si="696"/>
        <v>0</v>
      </c>
      <c r="Z1483" s="16">
        <f t="shared" si="696"/>
        <v>0</v>
      </c>
      <c r="AA1483" s="16">
        <f t="shared" si="696"/>
        <v>0</v>
      </c>
      <c r="AB1483" s="16">
        <f t="shared" si="696"/>
        <v>11149159.380000001</v>
      </c>
      <c r="AC1483" s="798"/>
      <c r="AD1483" s="798" t="s">
        <v>29</v>
      </c>
      <c r="AE1483" s="798" t="s">
        <v>29</v>
      </c>
      <c r="AF1483" s="146"/>
      <c r="AG1483" s="147"/>
    </row>
    <row r="1484" spans="1:33" ht="24" customHeight="1">
      <c r="A1484" s="884" t="s">
        <v>1289</v>
      </c>
      <c r="B1484" s="884"/>
      <c r="C1484" s="884"/>
      <c r="D1484" s="884"/>
      <c r="E1484" s="884"/>
      <c r="F1484" s="884"/>
      <c r="G1484" s="884"/>
      <c r="H1484" s="884"/>
      <c r="I1484" s="884"/>
      <c r="J1484" s="884"/>
      <c r="K1484" s="884"/>
      <c r="L1484" s="884"/>
      <c r="M1484" s="884"/>
      <c r="N1484" s="884"/>
      <c r="O1484" s="884"/>
      <c r="P1484" s="884"/>
      <c r="Q1484" s="884"/>
      <c r="R1484" s="884"/>
      <c r="S1484" s="884"/>
      <c r="T1484" s="884"/>
      <c r="U1484" s="884"/>
      <c r="V1484" s="884"/>
      <c r="W1484" s="884"/>
      <c r="X1484" s="884"/>
      <c r="Y1484" s="884"/>
      <c r="Z1484" s="884"/>
      <c r="AA1484" s="884"/>
      <c r="AB1484" s="884"/>
      <c r="AC1484" s="884"/>
      <c r="AD1484" s="884"/>
      <c r="AE1484" s="884"/>
      <c r="AF1484" s="808"/>
      <c r="AG1484" s="806"/>
    </row>
    <row r="1485" spans="1:33" ht="24" customHeight="1">
      <c r="A1485" s="585">
        <f>A1482+1</f>
        <v>363</v>
      </c>
      <c r="B1485" s="67" t="s">
        <v>1104</v>
      </c>
      <c r="C1485" s="587">
        <f t="shared" ref="C1485:C1488" si="697">D1485+F1485+G1485+H1485+I1485+K1485+L1485+M1485+O1485+P1485+Q1485+R1485+S1485+W1485+V1485+X1485</f>
        <v>19990415.649999999</v>
      </c>
      <c r="D1485" s="580"/>
      <c r="E1485" s="631"/>
      <c r="F1485" s="580"/>
      <c r="G1485" s="578"/>
      <c r="H1485" s="582"/>
      <c r="I1485" s="582"/>
      <c r="J1485" s="581"/>
      <c r="K1485" s="580"/>
      <c r="L1485" s="578"/>
      <c r="M1485" s="579"/>
      <c r="N1485" s="579"/>
      <c r="O1485" s="579"/>
      <c r="P1485" s="580">
        <v>18770343.329999998</v>
      </c>
      <c r="Q1485" s="580"/>
      <c r="R1485" s="580"/>
      <c r="S1485" s="582"/>
      <c r="T1485" s="582"/>
      <c r="U1485" s="582"/>
      <c r="V1485" s="788">
        <v>938517.17</v>
      </c>
      <c r="W1485" s="789">
        <f>ROUND((D1485+F1485+G1485+H1485+I1485+K1485+L1485+M1485+O1485+P1485+Q1485+R1485+S1485)*1.5%,2)</f>
        <v>281555.15000000002</v>
      </c>
      <c r="X1485" s="581"/>
      <c r="Y1485" s="581"/>
      <c r="Z1485" s="581"/>
      <c r="AA1485" s="581"/>
      <c r="AB1485" s="584">
        <f t="shared" ref="AB1485:AB1488" si="698">C1485</f>
        <v>19990415.649999999</v>
      </c>
      <c r="AC1485" s="585"/>
      <c r="AD1485" s="585">
        <v>2025</v>
      </c>
      <c r="AE1485" s="585">
        <v>2026</v>
      </c>
      <c r="AF1485" s="571"/>
      <c r="AG1485" s="571"/>
    </row>
    <row r="1486" spans="1:33" ht="24" customHeight="1">
      <c r="A1486" s="585">
        <f>A1485+1</f>
        <v>364</v>
      </c>
      <c r="B1486" s="67" t="s">
        <v>599</v>
      </c>
      <c r="C1486" s="587">
        <f t="shared" si="697"/>
        <v>11635238.23</v>
      </c>
      <c r="D1486" s="580"/>
      <c r="E1486" s="631"/>
      <c r="F1486" s="580"/>
      <c r="G1486" s="578"/>
      <c r="H1486" s="582"/>
      <c r="I1486" s="582"/>
      <c r="J1486" s="581"/>
      <c r="K1486" s="580"/>
      <c r="L1486" s="578"/>
      <c r="M1486" s="579"/>
      <c r="N1486" s="579"/>
      <c r="O1486" s="579"/>
      <c r="P1486" s="580"/>
      <c r="Q1486" s="580">
        <v>2733275.75</v>
      </c>
      <c r="R1486" s="580">
        <v>5786305.4699999997</v>
      </c>
      <c r="S1486" s="582">
        <v>2405525.1</v>
      </c>
      <c r="T1486" s="582"/>
      <c r="U1486" s="582"/>
      <c r="V1486" s="788">
        <f>136663.79+289315.27+120276.26</f>
        <v>546255.31999999995</v>
      </c>
      <c r="W1486" s="789">
        <f>ROUND((D1486+F1486+G1486+H1486+I1486+K1486+L1486+M1486+O1486+P1486+Q1486+R1486+S1486)*1.5%,2)</f>
        <v>163876.59</v>
      </c>
      <c r="X1486" s="581"/>
      <c r="Y1486" s="581"/>
      <c r="Z1486" s="581"/>
      <c r="AA1486" s="581"/>
      <c r="AB1486" s="584">
        <f t="shared" si="698"/>
        <v>11635238.23</v>
      </c>
      <c r="AC1486" s="585"/>
      <c r="AD1486" s="585">
        <v>2025</v>
      </c>
      <c r="AE1486" s="585">
        <v>2026</v>
      </c>
      <c r="AF1486" s="571"/>
      <c r="AG1486" s="571"/>
    </row>
    <row r="1487" spans="1:33" ht="24" customHeight="1">
      <c r="A1487" s="585">
        <f t="shared" ref="A1487:A1491" si="699">A1486+1</f>
        <v>365</v>
      </c>
      <c r="B1487" s="67" t="s">
        <v>171</v>
      </c>
      <c r="C1487" s="587">
        <f t="shared" si="697"/>
        <v>1546220.8</v>
      </c>
      <c r="D1487" s="580"/>
      <c r="E1487" s="631"/>
      <c r="F1487" s="580"/>
      <c r="G1487" s="578"/>
      <c r="H1487" s="582"/>
      <c r="I1487" s="582"/>
      <c r="J1487" s="581"/>
      <c r="K1487" s="580"/>
      <c r="L1487" s="578">
        <v>1451850.51</v>
      </c>
      <c r="M1487" s="579"/>
      <c r="N1487" s="579"/>
      <c r="O1487" s="579"/>
      <c r="P1487" s="580"/>
      <c r="Q1487" s="580"/>
      <c r="R1487" s="580"/>
      <c r="S1487" s="582"/>
      <c r="T1487" s="582"/>
      <c r="U1487" s="582"/>
      <c r="V1487" s="788">
        <v>72592.53</v>
      </c>
      <c r="W1487" s="789">
        <f>ROUND((D1487+F1487+G1487+H1487+I1487+K1487+L1487+M1487+O1487+P1487+Q1487+R1487+S1487)*1.5%,2)</f>
        <v>21777.759999999998</v>
      </c>
      <c r="X1487" s="581"/>
      <c r="Y1487" s="581"/>
      <c r="Z1487" s="581"/>
      <c r="AA1487" s="581"/>
      <c r="AB1487" s="584">
        <f t="shared" si="698"/>
        <v>1546220.8</v>
      </c>
      <c r="AC1487" s="585"/>
      <c r="AD1487" s="585">
        <v>2025</v>
      </c>
      <c r="AE1487" s="585">
        <v>2026</v>
      </c>
      <c r="AF1487" s="571"/>
      <c r="AG1487" s="571"/>
    </row>
    <row r="1488" spans="1:33" ht="24" customHeight="1">
      <c r="A1488" s="585">
        <f t="shared" si="699"/>
        <v>366</v>
      </c>
      <c r="B1488" s="67" t="s">
        <v>591</v>
      </c>
      <c r="C1488" s="587">
        <f t="shared" si="697"/>
        <v>47493408.909999996</v>
      </c>
      <c r="D1488" s="580">
        <v>2421863.7799999998</v>
      </c>
      <c r="E1488" s="631"/>
      <c r="F1488" s="580"/>
      <c r="G1488" s="578">
        <v>1887911.29</v>
      </c>
      <c r="H1488" s="582">
        <v>4320181.03</v>
      </c>
      <c r="I1488" s="582"/>
      <c r="J1488" s="581"/>
      <c r="K1488" s="580"/>
      <c r="L1488" s="578"/>
      <c r="M1488" s="579"/>
      <c r="N1488" s="579"/>
      <c r="O1488" s="579"/>
      <c r="P1488" s="580">
        <v>18844398.84</v>
      </c>
      <c r="Q1488" s="580">
        <v>5946759.5199999996</v>
      </c>
      <c r="R1488" s="580">
        <v>11173635.689999999</v>
      </c>
      <c r="S1488" s="582"/>
      <c r="T1488" s="582"/>
      <c r="U1488" s="582"/>
      <c r="V1488" s="788">
        <v>2229737.5099999998</v>
      </c>
      <c r="W1488" s="789">
        <f>ROUND((D1488+F1488+G1488+H1488+I1488+K1488+L1488+M1488+O1488+P1488+Q1488+R1488+S1488)*1.5%,2)</f>
        <v>668921.25</v>
      </c>
      <c r="X1488" s="581"/>
      <c r="Y1488" s="581"/>
      <c r="Z1488" s="581"/>
      <c r="AA1488" s="581"/>
      <c r="AB1488" s="584">
        <f t="shared" si="698"/>
        <v>47493408.909999996</v>
      </c>
      <c r="AC1488" s="585"/>
      <c r="AD1488" s="585">
        <v>2025</v>
      </c>
      <c r="AE1488" s="585">
        <v>2026</v>
      </c>
      <c r="AF1488" s="571"/>
      <c r="AG1488" s="571"/>
    </row>
    <row r="1489" spans="1:33" s="26" customFormat="1" ht="24" customHeight="1">
      <c r="A1489" s="585">
        <f t="shared" si="699"/>
        <v>367</v>
      </c>
      <c r="B1489" s="67" t="s">
        <v>330</v>
      </c>
      <c r="C1489" s="4">
        <f>D1489+F1489+G1489+H1489+I1489+K1489+L1489+M1489+O1489+P1489+Q1489+R1489+S1489+W1489+V1489+X1489</f>
        <v>3432657.95</v>
      </c>
      <c r="D1489" s="9">
        <v>782180.88</v>
      </c>
      <c r="E1489" s="36"/>
      <c r="F1489" s="9"/>
      <c r="G1489" s="12">
        <v>790799.88</v>
      </c>
      <c r="H1489" s="13">
        <v>1425118.5</v>
      </c>
      <c r="I1489" s="13"/>
      <c r="J1489" s="21"/>
      <c r="K1489" s="9"/>
      <c r="L1489" s="12"/>
      <c r="M1489" s="22"/>
      <c r="N1489" s="22"/>
      <c r="O1489" s="22"/>
      <c r="P1489" s="9"/>
      <c r="Q1489" s="9"/>
      <c r="R1489" s="9"/>
      <c r="S1489" s="13"/>
      <c r="T1489" s="110"/>
      <c r="U1489" s="110"/>
      <c r="V1489" s="780">
        <v>389587.20000000001</v>
      </c>
      <c r="W1489" s="86">
        <f>(D1489+F1489+G1489+H1489+I1489+K1489+L1489+M1489+O1489+P1489+Q1489+R1489+S1489)*1.5%</f>
        <v>44971.49</v>
      </c>
      <c r="X1489" s="21"/>
      <c r="Y1489" s="21"/>
      <c r="Z1489" s="21"/>
      <c r="AA1489" s="21"/>
      <c r="AB1489" s="24">
        <f>C1489</f>
        <v>3432657.95</v>
      </c>
      <c r="AC1489" s="18"/>
      <c r="AD1489" s="18">
        <v>2025</v>
      </c>
      <c r="AE1489" s="18">
        <v>2025</v>
      </c>
      <c r="AF1489" s="25"/>
      <c r="AG1489" s="91"/>
    </row>
    <row r="1490" spans="1:33" s="26" customFormat="1" ht="24" customHeight="1">
      <c r="A1490" s="585">
        <f t="shared" si="699"/>
        <v>368</v>
      </c>
      <c r="B1490" s="20" t="s">
        <v>331</v>
      </c>
      <c r="C1490" s="4">
        <f>D1490+F1490+G1490+H1490+I1490+K1490+L1490+M1490+O1490+P1490+Q1490+R1490+S1490+W1490+V1490+X1490</f>
        <v>3400540.21</v>
      </c>
      <c r="D1490" s="9">
        <v>775456.25</v>
      </c>
      <c r="E1490" s="9"/>
      <c r="F1490" s="9"/>
      <c r="G1490" s="12">
        <v>784001.15</v>
      </c>
      <c r="H1490" s="13">
        <v>1412866.35</v>
      </c>
      <c r="I1490" s="13"/>
      <c r="J1490" s="21"/>
      <c r="K1490" s="9"/>
      <c r="L1490" s="12"/>
      <c r="M1490" s="22"/>
      <c r="N1490" s="22"/>
      <c r="O1490" s="22"/>
      <c r="P1490" s="9"/>
      <c r="Q1490" s="9"/>
      <c r="R1490" s="9"/>
      <c r="S1490" s="13"/>
      <c r="T1490" s="110"/>
      <c r="U1490" s="110"/>
      <c r="V1490" s="780">
        <v>383631.6</v>
      </c>
      <c r="W1490" s="86">
        <f t="shared" ref="W1490" si="700">(D1490+F1490+G1490+H1490+I1490+K1490+L1490+M1490+O1490+P1490+Q1490+R1490+S1490)*1.5%</f>
        <v>44584.86</v>
      </c>
      <c r="X1490" s="21"/>
      <c r="Y1490" s="21"/>
      <c r="Z1490" s="21"/>
      <c r="AA1490" s="21"/>
      <c r="AB1490" s="24">
        <f t="shared" ref="AB1490" si="701">C1490</f>
        <v>3400540.21</v>
      </c>
      <c r="AC1490" s="18"/>
      <c r="AD1490" s="18">
        <v>2025</v>
      </c>
      <c r="AE1490" s="18">
        <v>2025</v>
      </c>
      <c r="AF1490" s="25"/>
      <c r="AG1490" s="91"/>
    </row>
    <row r="1491" spans="1:33" s="26" customFormat="1" ht="24" customHeight="1">
      <c r="A1491" s="585">
        <f t="shared" si="699"/>
        <v>369</v>
      </c>
      <c r="B1491" s="586" t="s">
        <v>1105</v>
      </c>
      <c r="C1491" s="587">
        <f>D1491+F1491+G1491+H1491+I1491+K1491+L1491+M1491+O1491+P1491+Q1491+R1491+S1491+W1491+V1491+X1491</f>
        <v>11894336.82</v>
      </c>
      <c r="D1491" s="580"/>
      <c r="E1491" s="631"/>
      <c r="F1491" s="580"/>
      <c r="G1491" s="578"/>
      <c r="H1491" s="582"/>
      <c r="I1491" s="582"/>
      <c r="J1491" s="581"/>
      <c r="K1491" s="580"/>
      <c r="L1491" s="578"/>
      <c r="M1491" s="579"/>
      <c r="N1491" s="579"/>
      <c r="O1491" s="579"/>
      <c r="P1491" s="580">
        <v>11168391.380000001</v>
      </c>
      <c r="Q1491" s="580"/>
      <c r="R1491" s="580"/>
      <c r="S1491" s="582"/>
      <c r="T1491" s="582"/>
      <c r="U1491" s="582"/>
      <c r="V1491" s="788">
        <v>558419.56999999995</v>
      </c>
      <c r="W1491" s="789">
        <f>ROUND((D1491+F1491+G1491+H1491+I1491+K1491+L1491+M1491+O1491+P1491+Q1491+R1491+S1491)*1.5%,2)</f>
        <v>167525.87</v>
      </c>
      <c r="X1491" s="581"/>
      <c r="Y1491" s="581"/>
      <c r="Z1491" s="581"/>
      <c r="AA1491" s="581"/>
      <c r="AB1491" s="584">
        <f>C1491</f>
        <v>11894336.82</v>
      </c>
      <c r="AC1491" s="585"/>
      <c r="AD1491" s="585">
        <v>2025</v>
      </c>
      <c r="AE1491" s="585">
        <v>2026</v>
      </c>
      <c r="AF1491" s="91"/>
      <c r="AG1491" s="91"/>
    </row>
    <row r="1492" spans="1:33" s="148" customFormat="1" ht="24" customHeight="1">
      <c r="A1492" s="883" t="s">
        <v>262</v>
      </c>
      <c r="B1492" s="883"/>
      <c r="C1492" s="16">
        <f>SUM(C1485:C1491)</f>
        <v>99392818.569999993</v>
      </c>
      <c r="D1492" s="16">
        <f t="shared" ref="D1492:AC1492" si="702">SUM(D1485:D1491)</f>
        <v>3979500.91</v>
      </c>
      <c r="E1492" s="16">
        <f t="shared" si="702"/>
        <v>0</v>
      </c>
      <c r="F1492" s="16">
        <f t="shared" si="702"/>
        <v>0</v>
      </c>
      <c r="G1492" s="16">
        <f t="shared" si="702"/>
        <v>3462712.32</v>
      </c>
      <c r="H1492" s="16">
        <f t="shared" si="702"/>
        <v>7158165.8799999999</v>
      </c>
      <c r="I1492" s="16">
        <f t="shared" si="702"/>
        <v>0</v>
      </c>
      <c r="J1492" s="16">
        <f t="shared" si="702"/>
        <v>0</v>
      </c>
      <c r="K1492" s="16">
        <f t="shared" si="702"/>
        <v>0</v>
      </c>
      <c r="L1492" s="16">
        <f t="shared" si="702"/>
        <v>1451850.51</v>
      </c>
      <c r="M1492" s="16">
        <f t="shared" si="702"/>
        <v>0</v>
      </c>
      <c r="N1492" s="16">
        <f t="shared" si="702"/>
        <v>0</v>
      </c>
      <c r="O1492" s="16">
        <f t="shared" si="702"/>
        <v>0</v>
      </c>
      <c r="P1492" s="16">
        <f t="shared" si="702"/>
        <v>48783133.549999997</v>
      </c>
      <c r="Q1492" s="16">
        <f t="shared" si="702"/>
        <v>8680035.2699999996</v>
      </c>
      <c r="R1492" s="16">
        <f t="shared" si="702"/>
        <v>16959941.16</v>
      </c>
      <c r="S1492" s="16">
        <f t="shared" si="702"/>
        <v>2405525.1</v>
      </c>
      <c r="T1492" s="16">
        <f t="shared" si="702"/>
        <v>0</v>
      </c>
      <c r="U1492" s="16">
        <f t="shared" si="702"/>
        <v>0</v>
      </c>
      <c r="V1492" s="16">
        <f t="shared" si="702"/>
        <v>5118740.9000000004</v>
      </c>
      <c r="W1492" s="16">
        <f t="shared" si="702"/>
        <v>1393212.97</v>
      </c>
      <c r="X1492" s="16">
        <f t="shared" si="702"/>
        <v>0</v>
      </c>
      <c r="Y1492" s="16">
        <f t="shared" si="702"/>
        <v>0</v>
      </c>
      <c r="Z1492" s="16">
        <f t="shared" si="702"/>
        <v>0</v>
      </c>
      <c r="AA1492" s="16">
        <f t="shared" si="702"/>
        <v>0</v>
      </c>
      <c r="AB1492" s="16">
        <f t="shared" si="702"/>
        <v>99392818.569999993</v>
      </c>
      <c r="AC1492" s="16">
        <f t="shared" si="702"/>
        <v>0</v>
      </c>
      <c r="AD1492" s="798" t="s">
        <v>29</v>
      </c>
      <c r="AE1492" s="798" t="s">
        <v>29</v>
      </c>
      <c r="AF1492" s="146"/>
      <c r="AG1492" s="147"/>
    </row>
    <row r="1493" spans="1:33" ht="24" customHeight="1">
      <c r="A1493" s="884" t="s">
        <v>1290</v>
      </c>
      <c r="B1493" s="884"/>
      <c r="C1493" s="884"/>
      <c r="D1493" s="884"/>
      <c r="E1493" s="884"/>
      <c r="F1493" s="884"/>
      <c r="G1493" s="884"/>
      <c r="H1493" s="884"/>
      <c r="I1493" s="884"/>
      <c r="J1493" s="884"/>
      <c r="K1493" s="884"/>
      <c r="L1493" s="884"/>
      <c r="M1493" s="884"/>
      <c r="N1493" s="884"/>
      <c r="O1493" s="884"/>
      <c r="P1493" s="884"/>
      <c r="Q1493" s="884"/>
      <c r="R1493" s="884"/>
      <c r="S1493" s="884"/>
      <c r="T1493" s="884"/>
      <c r="U1493" s="884"/>
      <c r="V1493" s="884"/>
      <c r="W1493" s="884"/>
      <c r="X1493" s="884"/>
      <c r="Y1493" s="884"/>
      <c r="Z1493" s="884"/>
      <c r="AA1493" s="884"/>
      <c r="AB1493" s="884"/>
      <c r="AC1493" s="884"/>
      <c r="AD1493" s="884"/>
      <c r="AE1493" s="884"/>
      <c r="AF1493" s="544"/>
      <c r="AG1493" s="544"/>
    </row>
    <row r="1494" spans="1:33" s="26" customFormat="1" ht="24" customHeight="1">
      <c r="A1494" s="319">
        <f>A1491+1</f>
        <v>370</v>
      </c>
      <c r="B1494" s="550" t="s">
        <v>755</v>
      </c>
      <c r="C1494" s="321">
        <f>D1494+F1494+G1494+H1494+I1494+K1494+L1494+M1494+O1494+P1494+Q1494+R1494+S1494+U1494+W1494+V1494+X1494</f>
        <v>4919204.76</v>
      </c>
      <c r="D1494" s="322"/>
      <c r="E1494" s="547"/>
      <c r="F1494" s="322"/>
      <c r="G1494" s="323"/>
      <c r="H1494" s="348"/>
      <c r="I1494" s="348"/>
      <c r="J1494" s="330"/>
      <c r="K1494" s="548"/>
      <c r="L1494" s="323"/>
      <c r="M1494" s="325"/>
      <c r="N1494" s="336"/>
      <c r="O1494" s="323"/>
      <c r="P1494" s="322"/>
      <c r="Q1494" s="322"/>
      <c r="R1494" s="322"/>
      <c r="S1494" s="348"/>
      <c r="T1494" s="538">
        <v>6</v>
      </c>
      <c r="U1494" s="348">
        <f>807751.19*T1494</f>
        <v>4846507.1399999997</v>
      </c>
      <c r="V1494" s="549"/>
      <c r="W1494" s="339">
        <v>72697.62</v>
      </c>
      <c r="X1494" s="330"/>
      <c r="Y1494" s="339"/>
      <c r="Z1494" s="339">
        <f>C1494</f>
        <v>4919204.76</v>
      </c>
      <c r="AA1494" s="330"/>
      <c r="AB1494" s="339"/>
      <c r="AC1494" s="319"/>
      <c r="AD1494" s="319">
        <v>2025</v>
      </c>
      <c r="AE1494" s="319">
        <v>2025</v>
      </c>
      <c r="AF1494" s="25"/>
      <c r="AG1494" s="262"/>
    </row>
    <row r="1495" spans="1:33" s="26" customFormat="1" ht="24" customHeight="1">
      <c r="A1495" s="319">
        <f>A1494+1</f>
        <v>371</v>
      </c>
      <c r="B1495" s="550" t="s">
        <v>757</v>
      </c>
      <c r="C1495" s="321">
        <f>D1495+F1495+G1495+H1495+I1495+K1495+L1495+M1495+O1495+P1495+Q1495+R1495+S1495+U1495+W1495+V1495+X1495</f>
        <v>4627352.5</v>
      </c>
      <c r="D1495" s="322"/>
      <c r="E1495" s="547"/>
      <c r="F1495" s="322"/>
      <c r="G1495" s="323"/>
      <c r="H1495" s="348"/>
      <c r="I1495" s="348"/>
      <c r="J1495" s="330"/>
      <c r="K1495" s="548"/>
      <c r="L1495" s="323"/>
      <c r="M1495" s="325"/>
      <c r="N1495" s="336"/>
      <c r="O1495" s="323"/>
      <c r="P1495" s="322"/>
      <c r="Q1495" s="322"/>
      <c r="R1495" s="322"/>
      <c r="S1495" s="348"/>
      <c r="T1495" s="538">
        <v>5</v>
      </c>
      <c r="U1495" s="348">
        <f>911793.6*T1495</f>
        <v>4558968</v>
      </c>
      <c r="V1495" s="549"/>
      <c r="W1495" s="339">
        <v>68384.5</v>
      </c>
      <c r="X1495" s="330"/>
      <c r="Y1495" s="339"/>
      <c r="Z1495" s="339">
        <f>C1495</f>
        <v>4627352.5</v>
      </c>
      <c r="AA1495" s="330"/>
      <c r="AB1495" s="339"/>
      <c r="AC1495" s="319"/>
      <c r="AD1495" s="319">
        <v>2025</v>
      </c>
      <c r="AE1495" s="319">
        <v>2025</v>
      </c>
      <c r="AF1495" s="25"/>
      <c r="AG1495" s="262"/>
    </row>
    <row r="1496" spans="1:33" s="95" customFormat="1" ht="24" customHeight="1">
      <c r="A1496" s="933" t="s">
        <v>262</v>
      </c>
      <c r="B1496" s="933"/>
      <c r="C1496" s="391">
        <f>SUM(C1494:C1495)</f>
        <v>9546557.2599999998</v>
      </c>
      <c r="D1496" s="391">
        <f t="shared" ref="D1496:AC1496" si="703">SUM(D1494:D1495)</f>
        <v>0</v>
      </c>
      <c r="E1496" s="391">
        <f t="shared" si="703"/>
        <v>0</v>
      </c>
      <c r="F1496" s="391">
        <f t="shared" si="703"/>
        <v>0</v>
      </c>
      <c r="G1496" s="391">
        <f t="shared" si="703"/>
        <v>0</v>
      </c>
      <c r="H1496" s="391">
        <f t="shared" si="703"/>
        <v>0</v>
      </c>
      <c r="I1496" s="391">
        <f t="shared" si="703"/>
        <v>0</v>
      </c>
      <c r="J1496" s="391">
        <f t="shared" si="703"/>
        <v>0</v>
      </c>
      <c r="K1496" s="391">
        <f t="shared" si="703"/>
        <v>0</v>
      </c>
      <c r="L1496" s="391">
        <f t="shared" si="703"/>
        <v>0</v>
      </c>
      <c r="M1496" s="391">
        <f t="shared" si="703"/>
        <v>0</v>
      </c>
      <c r="N1496" s="391">
        <f t="shared" si="703"/>
        <v>0</v>
      </c>
      <c r="O1496" s="391">
        <f t="shared" si="703"/>
        <v>0</v>
      </c>
      <c r="P1496" s="391">
        <f t="shared" si="703"/>
        <v>0</v>
      </c>
      <c r="Q1496" s="391">
        <f t="shared" si="703"/>
        <v>0</v>
      </c>
      <c r="R1496" s="391">
        <f t="shared" si="703"/>
        <v>0</v>
      </c>
      <c r="S1496" s="391">
        <f t="shared" si="703"/>
        <v>0</v>
      </c>
      <c r="T1496" s="787">
        <f t="shared" si="703"/>
        <v>11</v>
      </c>
      <c r="U1496" s="391">
        <f t="shared" si="703"/>
        <v>9405475.1400000006</v>
      </c>
      <c r="V1496" s="391">
        <f t="shared" si="703"/>
        <v>0</v>
      </c>
      <c r="W1496" s="391">
        <f t="shared" si="703"/>
        <v>141082.12</v>
      </c>
      <c r="X1496" s="391">
        <f t="shared" si="703"/>
        <v>0</v>
      </c>
      <c r="Y1496" s="391">
        <f t="shared" si="703"/>
        <v>0</v>
      </c>
      <c r="Z1496" s="391">
        <f t="shared" si="703"/>
        <v>9546557.2599999998</v>
      </c>
      <c r="AA1496" s="391">
        <f t="shared" si="703"/>
        <v>0</v>
      </c>
      <c r="AB1496" s="391">
        <f t="shared" si="703"/>
        <v>0</v>
      </c>
      <c r="AC1496" s="391">
        <f t="shared" si="703"/>
        <v>0</v>
      </c>
      <c r="AD1496" s="802" t="s">
        <v>29</v>
      </c>
      <c r="AE1496" s="802" t="s">
        <v>29</v>
      </c>
      <c r="AF1496" s="94"/>
      <c r="AG1496" s="94"/>
    </row>
    <row r="1497" spans="1:33" ht="24" customHeight="1">
      <c r="A1497" s="884" t="s">
        <v>1292</v>
      </c>
      <c r="B1497" s="884"/>
      <c r="C1497" s="884"/>
      <c r="D1497" s="884"/>
      <c r="E1497" s="884"/>
      <c r="F1497" s="884"/>
      <c r="G1497" s="884"/>
      <c r="H1497" s="884"/>
      <c r="I1497" s="884"/>
      <c r="J1497" s="884"/>
      <c r="K1497" s="884"/>
      <c r="L1497" s="884"/>
      <c r="M1497" s="884"/>
      <c r="N1497" s="884"/>
      <c r="O1497" s="884"/>
      <c r="P1497" s="884"/>
      <c r="Q1497" s="884"/>
      <c r="R1497" s="884"/>
      <c r="S1497" s="884"/>
      <c r="T1497" s="884"/>
      <c r="U1497" s="884"/>
      <c r="V1497" s="884"/>
      <c r="W1497" s="884"/>
      <c r="X1497" s="884"/>
      <c r="Y1497" s="884"/>
      <c r="Z1497" s="884"/>
      <c r="AA1497" s="884"/>
      <c r="AB1497" s="884"/>
      <c r="AC1497" s="884"/>
      <c r="AD1497" s="884"/>
      <c r="AE1497" s="884"/>
      <c r="AF1497" s="808"/>
      <c r="AG1497" s="806"/>
    </row>
    <row r="1498" spans="1:33" s="26" customFormat="1" ht="24" customHeight="1">
      <c r="A1498" s="18">
        <f>A1495+1</f>
        <v>372</v>
      </c>
      <c r="B1498" s="20" t="s">
        <v>256</v>
      </c>
      <c r="C1498" s="4">
        <f>D1498+F1498+G1498+H1498+I1498+K1498+L1498+M1498+O1498+P1498+Q1498+R1498+S1498+W1498+V1498+X1498</f>
        <v>5545334.0499999998</v>
      </c>
      <c r="D1498" s="9"/>
      <c r="E1498" s="36"/>
      <c r="F1498" s="9"/>
      <c r="G1498" s="12"/>
      <c r="H1498" s="13"/>
      <c r="I1498" s="13"/>
      <c r="J1498" s="21"/>
      <c r="K1498" s="9"/>
      <c r="L1498" s="12"/>
      <c r="M1498" s="22"/>
      <c r="N1498" s="22"/>
      <c r="O1498" s="22"/>
      <c r="P1498" s="9"/>
      <c r="Q1498" s="9"/>
      <c r="R1498" s="9">
        <f>ROUND(1266.8*3842.27,2)</f>
        <v>4867387.6399999997</v>
      </c>
      <c r="S1498" s="13"/>
      <c r="T1498" s="110"/>
      <c r="U1498" s="110"/>
      <c r="V1498" s="11">
        <v>604935.6</v>
      </c>
      <c r="W1498" s="24">
        <f>(D1498+F1498+G1498+H1498+I1498+K1498+L1498+M1498+O1498+P1498+Q1498+R1498+S1498)*1.5%</f>
        <v>73010.81</v>
      </c>
      <c r="X1498" s="21"/>
      <c r="Y1498" s="21"/>
      <c r="Z1498" s="21"/>
      <c r="AA1498" s="21"/>
      <c r="AB1498" s="24">
        <f>C1498</f>
        <v>5545334.0499999998</v>
      </c>
      <c r="AC1498" s="18"/>
      <c r="AD1498" s="18">
        <v>2025</v>
      </c>
      <c r="AE1498" s="18">
        <v>2025</v>
      </c>
      <c r="AF1498" s="25"/>
      <c r="AG1498" s="91"/>
    </row>
    <row r="1499" spans="1:33" s="26" customFormat="1" ht="24" customHeight="1">
      <c r="A1499" s="18">
        <f>A1498+1</f>
        <v>373</v>
      </c>
      <c r="B1499" s="20" t="s">
        <v>332</v>
      </c>
      <c r="C1499" s="4">
        <f>D1499+F1499+G1499+H1499+I1499+K1499+L1499+M1499+O1499+P1499+Q1499+R1499+S1499+W1499+V1499+X1499</f>
        <v>12650956.51</v>
      </c>
      <c r="D1499" s="9"/>
      <c r="E1499" s="9"/>
      <c r="F1499" s="9"/>
      <c r="G1499" s="12"/>
      <c r="H1499" s="13"/>
      <c r="I1499" s="13"/>
      <c r="J1499" s="21"/>
      <c r="K1499" s="9"/>
      <c r="L1499" s="12"/>
      <c r="M1499" s="22"/>
      <c r="N1499" s="22"/>
      <c r="O1499" s="22"/>
      <c r="P1499" s="9">
        <f>ROUND(3152.7*3727.29,2)</f>
        <v>11751027.18</v>
      </c>
      <c r="Q1499" s="9"/>
      <c r="R1499" s="9"/>
      <c r="S1499" s="13"/>
      <c r="T1499" s="110"/>
      <c r="U1499" s="110"/>
      <c r="V1499" s="11">
        <v>723663.92</v>
      </c>
      <c r="W1499" s="24">
        <f>(D1499+F1499+G1499+H1499+I1499+K1499+L1499+M1499+O1499+P1499+Q1499+R1499+S1499)*1.5%</f>
        <v>176265.41</v>
      </c>
      <c r="X1499" s="21"/>
      <c r="Y1499" s="21"/>
      <c r="Z1499" s="21"/>
      <c r="AA1499" s="21"/>
      <c r="AB1499" s="24">
        <f t="shared" ref="AB1499:AB1502" si="704">C1499</f>
        <v>12650956.51</v>
      </c>
      <c r="AC1499" s="18"/>
      <c r="AD1499" s="18">
        <v>2025</v>
      </c>
      <c r="AE1499" s="18">
        <v>2025</v>
      </c>
      <c r="AF1499" s="25"/>
      <c r="AG1499" s="91"/>
    </row>
    <row r="1500" spans="1:33" s="26" customFormat="1" ht="24" customHeight="1">
      <c r="A1500" s="18">
        <f t="shared" ref="A1500:A1502" si="705">A1499+1</f>
        <v>374</v>
      </c>
      <c r="B1500" s="586" t="s">
        <v>1106</v>
      </c>
      <c r="C1500" s="587">
        <f t="shared" ref="C1500:C1501" si="706">D1500+F1500+G1500+H1500+I1500+K1500+L1500+M1500+O1500+P1500+Q1500+R1500+S1500+W1500+V1500+X1500</f>
        <v>13989298.199999999</v>
      </c>
      <c r="D1500" s="580"/>
      <c r="E1500" s="580"/>
      <c r="F1500" s="580"/>
      <c r="G1500" s="578"/>
      <c r="H1500" s="582"/>
      <c r="I1500" s="582"/>
      <c r="J1500" s="581"/>
      <c r="K1500" s="580"/>
      <c r="L1500" s="578"/>
      <c r="M1500" s="579"/>
      <c r="N1500" s="579"/>
      <c r="O1500" s="579"/>
      <c r="P1500" s="580">
        <v>13161178.51</v>
      </c>
      <c r="Q1500" s="580"/>
      <c r="R1500" s="580"/>
      <c r="S1500" s="582"/>
      <c r="T1500" s="582"/>
      <c r="U1500" s="582"/>
      <c r="V1500" s="635">
        <v>630702.01</v>
      </c>
      <c r="W1500" s="584">
        <f>(D1500+F1500+G1500+H1500+I1500+K1500+L1500+M1500+O1500+P1500+Q1500+R1500+S1500)*1.5%</f>
        <v>197417.68</v>
      </c>
      <c r="X1500" s="581"/>
      <c r="Y1500" s="581"/>
      <c r="Z1500" s="581"/>
      <c r="AA1500" s="581"/>
      <c r="AB1500" s="584">
        <f t="shared" si="704"/>
        <v>13989298.199999999</v>
      </c>
      <c r="AC1500" s="585"/>
      <c r="AD1500" s="585">
        <v>2025</v>
      </c>
      <c r="AE1500" s="585">
        <v>2026</v>
      </c>
      <c r="AF1500" s="91"/>
      <c r="AG1500" s="91"/>
    </row>
    <row r="1501" spans="1:33" s="26" customFormat="1" ht="24" customHeight="1">
      <c r="A1501" s="18">
        <f t="shared" si="705"/>
        <v>375</v>
      </c>
      <c r="B1501" s="586" t="s">
        <v>1107</v>
      </c>
      <c r="C1501" s="587">
        <f t="shared" si="706"/>
        <v>13360026.41</v>
      </c>
      <c r="D1501" s="580"/>
      <c r="E1501" s="580"/>
      <c r="F1501" s="580"/>
      <c r="G1501" s="578"/>
      <c r="H1501" s="582"/>
      <c r="I1501" s="582"/>
      <c r="J1501" s="581"/>
      <c r="K1501" s="580"/>
      <c r="L1501" s="578"/>
      <c r="M1501" s="579"/>
      <c r="N1501" s="579"/>
      <c r="O1501" s="579"/>
      <c r="P1501" s="580">
        <v>12540023.5</v>
      </c>
      <c r="Q1501" s="580"/>
      <c r="R1501" s="580"/>
      <c r="S1501" s="582"/>
      <c r="T1501" s="582"/>
      <c r="U1501" s="582"/>
      <c r="V1501" s="635">
        <v>631902.56000000006</v>
      </c>
      <c r="W1501" s="584">
        <f>(D1501+F1501+G1501+H1501+I1501+K1501+L1501+M1501+O1501+P1501+Q1501+R1501+S1501)*1.5%</f>
        <v>188100.35</v>
      </c>
      <c r="X1501" s="581"/>
      <c r="Y1501" s="581"/>
      <c r="Z1501" s="581"/>
      <c r="AA1501" s="581"/>
      <c r="AB1501" s="584">
        <f t="shared" si="704"/>
        <v>13360026.41</v>
      </c>
      <c r="AC1501" s="585"/>
      <c r="AD1501" s="585">
        <v>2025</v>
      </c>
      <c r="AE1501" s="585">
        <v>2026</v>
      </c>
      <c r="AF1501" s="91"/>
      <c r="AG1501" s="91"/>
    </row>
    <row r="1502" spans="1:33" s="26" customFormat="1" ht="24" customHeight="1">
      <c r="A1502" s="18">
        <f t="shared" si="705"/>
        <v>376</v>
      </c>
      <c r="B1502" s="20" t="s">
        <v>255</v>
      </c>
      <c r="C1502" s="4">
        <f t="shared" ref="C1502" si="707">D1502+F1502+G1502+H1502+I1502+K1502+L1502+M1502+O1502+P1502+Q1502+R1502+S1502+W1502+V1502+X1502</f>
        <v>5500535.29</v>
      </c>
      <c r="D1502" s="9"/>
      <c r="E1502" s="9"/>
      <c r="F1502" s="9"/>
      <c r="G1502" s="12"/>
      <c r="H1502" s="13"/>
      <c r="I1502" s="13"/>
      <c r="J1502" s="21"/>
      <c r="K1502" s="9"/>
      <c r="L1502" s="12"/>
      <c r="M1502" s="22"/>
      <c r="N1502" s="22"/>
      <c r="O1502" s="22"/>
      <c r="P1502" s="9"/>
      <c r="Q1502" s="9"/>
      <c r="R1502" s="9">
        <f>ROUND(1258*3842.27,2)</f>
        <v>4833575.66</v>
      </c>
      <c r="S1502" s="13"/>
      <c r="T1502" s="110"/>
      <c r="U1502" s="110"/>
      <c r="V1502" s="11">
        <v>594456</v>
      </c>
      <c r="W1502" s="24">
        <f t="shared" ref="W1502" si="708">(D1502+F1502+G1502+H1502+I1502+K1502+L1502+M1502+O1502+P1502+Q1502+R1502+S1502)*1.5%</f>
        <v>72503.63</v>
      </c>
      <c r="X1502" s="21"/>
      <c r="Y1502" s="21"/>
      <c r="Z1502" s="21"/>
      <c r="AA1502" s="21"/>
      <c r="AB1502" s="24">
        <f t="shared" si="704"/>
        <v>5500535.29</v>
      </c>
      <c r="AC1502" s="18"/>
      <c r="AD1502" s="18">
        <v>2025</v>
      </c>
      <c r="AE1502" s="18">
        <v>2025</v>
      </c>
      <c r="AF1502" s="25"/>
      <c r="AG1502" s="91"/>
    </row>
    <row r="1503" spans="1:33" s="148" customFormat="1" ht="24" customHeight="1">
      <c r="A1503" s="883" t="s">
        <v>262</v>
      </c>
      <c r="B1503" s="883"/>
      <c r="C1503" s="16">
        <f t="shared" ref="C1503:AB1503" si="709">SUM(C1498:C1502)</f>
        <v>51046150.460000001</v>
      </c>
      <c r="D1503" s="16">
        <f t="shared" si="709"/>
        <v>0</v>
      </c>
      <c r="E1503" s="16">
        <f t="shared" si="709"/>
        <v>0</v>
      </c>
      <c r="F1503" s="16">
        <f t="shared" si="709"/>
        <v>0</v>
      </c>
      <c r="G1503" s="6">
        <f t="shared" si="709"/>
        <v>0</v>
      </c>
      <c r="H1503" s="16">
        <f t="shared" si="709"/>
        <v>0</v>
      </c>
      <c r="I1503" s="16">
        <f t="shared" si="709"/>
        <v>0</v>
      </c>
      <c r="J1503" s="16">
        <f t="shared" si="709"/>
        <v>0</v>
      </c>
      <c r="K1503" s="16">
        <f t="shared" si="709"/>
        <v>0</v>
      </c>
      <c r="L1503" s="16">
        <f t="shared" si="709"/>
        <v>0</v>
      </c>
      <c r="M1503" s="16">
        <f t="shared" si="709"/>
        <v>0</v>
      </c>
      <c r="N1503" s="16">
        <f t="shared" si="709"/>
        <v>0</v>
      </c>
      <c r="O1503" s="16">
        <f t="shared" si="709"/>
        <v>0</v>
      </c>
      <c r="P1503" s="16">
        <f t="shared" si="709"/>
        <v>37452229.189999998</v>
      </c>
      <c r="Q1503" s="16">
        <f t="shared" si="709"/>
        <v>0</v>
      </c>
      <c r="R1503" s="16">
        <f t="shared" si="709"/>
        <v>9700963.3000000007</v>
      </c>
      <c r="S1503" s="16">
        <f t="shared" si="709"/>
        <v>0</v>
      </c>
      <c r="T1503" s="141"/>
      <c r="U1503" s="141"/>
      <c r="V1503" s="16">
        <f t="shared" si="709"/>
        <v>3185660.09</v>
      </c>
      <c r="W1503" s="16">
        <f t="shared" si="709"/>
        <v>707297.88</v>
      </c>
      <c r="X1503" s="16">
        <f t="shared" si="709"/>
        <v>0</v>
      </c>
      <c r="Y1503" s="16">
        <f t="shared" si="709"/>
        <v>0</v>
      </c>
      <c r="Z1503" s="16">
        <f t="shared" si="709"/>
        <v>0</v>
      </c>
      <c r="AA1503" s="16">
        <f t="shared" si="709"/>
        <v>0</v>
      </c>
      <c r="AB1503" s="16">
        <f t="shared" si="709"/>
        <v>51046150.460000001</v>
      </c>
      <c r="AC1503" s="798"/>
      <c r="AD1503" s="798" t="s">
        <v>29</v>
      </c>
      <c r="AE1503" s="798" t="s">
        <v>29</v>
      </c>
      <c r="AF1503" s="146"/>
      <c r="AG1503" s="147"/>
    </row>
    <row r="1504" spans="1:33" s="148" customFormat="1" ht="27.75" customHeight="1">
      <c r="A1504" s="881" t="s">
        <v>1310</v>
      </c>
      <c r="B1504" s="882"/>
      <c r="C1504" s="16">
        <f>C1503+C1492+C1496+C1483</f>
        <v>171134685.66999999</v>
      </c>
      <c r="D1504" s="16">
        <f t="shared" ref="D1504:AC1504" si="710">D1503+D1492+D1496+D1483</f>
        <v>3979500.91</v>
      </c>
      <c r="E1504" s="16">
        <f t="shared" si="710"/>
        <v>0</v>
      </c>
      <c r="F1504" s="16">
        <f t="shared" si="710"/>
        <v>0</v>
      </c>
      <c r="G1504" s="16">
        <f t="shared" si="710"/>
        <v>3462712.32</v>
      </c>
      <c r="H1504" s="16">
        <f t="shared" si="710"/>
        <v>7158165.8799999999</v>
      </c>
      <c r="I1504" s="16">
        <f t="shared" si="710"/>
        <v>0</v>
      </c>
      <c r="J1504" s="16">
        <f t="shared" si="710"/>
        <v>0</v>
      </c>
      <c r="K1504" s="16">
        <f t="shared" si="710"/>
        <v>0</v>
      </c>
      <c r="L1504" s="16">
        <f t="shared" si="710"/>
        <v>1451850.51</v>
      </c>
      <c r="M1504" s="16">
        <f t="shared" si="710"/>
        <v>0</v>
      </c>
      <c r="N1504" s="16">
        <f t="shared" si="710"/>
        <v>0</v>
      </c>
      <c r="O1504" s="16">
        <f t="shared" si="710"/>
        <v>0</v>
      </c>
      <c r="P1504" s="16">
        <f t="shared" si="710"/>
        <v>86235362.739999995</v>
      </c>
      <c r="Q1504" s="16">
        <f t="shared" si="710"/>
        <v>8680035.2699999996</v>
      </c>
      <c r="R1504" s="16">
        <f t="shared" si="710"/>
        <v>37018577.539999999</v>
      </c>
      <c r="S1504" s="16">
        <f t="shared" si="710"/>
        <v>2405525.1</v>
      </c>
      <c r="T1504" s="396">
        <f t="shared" si="710"/>
        <v>11</v>
      </c>
      <c r="U1504" s="16">
        <f t="shared" si="710"/>
        <v>9405475.1400000006</v>
      </c>
      <c r="V1504" s="16">
        <f t="shared" si="710"/>
        <v>8940522.1899999995</v>
      </c>
      <c r="W1504" s="16">
        <f t="shared" si="710"/>
        <v>2396958.0699999998</v>
      </c>
      <c r="X1504" s="16">
        <f t="shared" si="710"/>
        <v>0</v>
      </c>
      <c r="Y1504" s="16">
        <f t="shared" si="710"/>
        <v>0</v>
      </c>
      <c r="Z1504" s="16">
        <f t="shared" si="710"/>
        <v>9546557.2599999998</v>
      </c>
      <c r="AA1504" s="16">
        <f t="shared" si="710"/>
        <v>0</v>
      </c>
      <c r="AB1504" s="16">
        <f t="shared" si="710"/>
        <v>161588128.41</v>
      </c>
      <c r="AC1504" s="16">
        <f t="shared" si="710"/>
        <v>0</v>
      </c>
      <c r="AD1504" s="798" t="s">
        <v>29</v>
      </c>
      <c r="AE1504" s="798" t="s">
        <v>29</v>
      </c>
      <c r="AF1504" s="146"/>
      <c r="AG1504" s="147"/>
    </row>
    <row r="1505" spans="1:33" s="148" customFormat="1" ht="24" customHeight="1">
      <c r="A1505" s="885" t="s">
        <v>1295</v>
      </c>
      <c r="B1505" s="886"/>
      <c r="C1505" s="886"/>
      <c r="D1505" s="886"/>
      <c r="E1505" s="886"/>
      <c r="F1505" s="886"/>
      <c r="G1505" s="886"/>
      <c r="H1505" s="886"/>
      <c r="I1505" s="886"/>
      <c r="J1505" s="886"/>
      <c r="K1505" s="886"/>
      <c r="L1505" s="886"/>
      <c r="M1505" s="886"/>
      <c r="N1505" s="886"/>
      <c r="O1505" s="886"/>
      <c r="P1505" s="886"/>
      <c r="Q1505" s="886"/>
      <c r="R1505" s="886"/>
      <c r="S1505" s="886"/>
      <c r="T1505" s="886"/>
      <c r="U1505" s="886"/>
      <c r="V1505" s="886"/>
      <c r="W1505" s="886"/>
      <c r="X1505" s="886"/>
      <c r="Y1505" s="886"/>
      <c r="Z1505" s="886"/>
      <c r="AA1505" s="886"/>
      <c r="AB1505" s="886"/>
      <c r="AC1505" s="886"/>
      <c r="AD1505" s="886"/>
      <c r="AE1505" s="887"/>
      <c r="AF1505" s="146"/>
      <c r="AG1505" s="147"/>
    </row>
    <row r="1506" spans="1:33" ht="24" customHeight="1">
      <c r="A1506" s="884" t="s">
        <v>1296</v>
      </c>
      <c r="B1506" s="884"/>
      <c r="C1506" s="884"/>
      <c r="D1506" s="884"/>
      <c r="E1506" s="884"/>
      <c r="F1506" s="884"/>
      <c r="G1506" s="884"/>
      <c r="H1506" s="884"/>
      <c r="I1506" s="884"/>
      <c r="J1506" s="884"/>
      <c r="K1506" s="884"/>
      <c r="L1506" s="884"/>
      <c r="M1506" s="884"/>
      <c r="N1506" s="884"/>
      <c r="O1506" s="884"/>
      <c r="P1506" s="884"/>
      <c r="Q1506" s="884"/>
      <c r="R1506" s="884"/>
      <c r="S1506" s="884"/>
      <c r="T1506" s="884"/>
      <c r="U1506" s="884"/>
      <c r="V1506" s="884"/>
      <c r="W1506" s="884"/>
      <c r="X1506" s="884"/>
      <c r="Y1506" s="884"/>
      <c r="Z1506" s="884"/>
      <c r="AA1506" s="884"/>
      <c r="AB1506" s="884"/>
      <c r="AC1506" s="884"/>
      <c r="AD1506" s="884"/>
      <c r="AE1506" s="884"/>
      <c r="AF1506" s="808"/>
      <c r="AG1506" s="806"/>
    </row>
    <row r="1507" spans="1:33" s="26" customFormat="1" ht="24" customHeight="1">
      <c r="A1507" s="18">
        <f>A1502+1</f>
        <v>377</v>
      </c>
      <c r="B1507" s="59" t="s">
        <v>333</v>
      </c>
      <c r="C1507" s="4">
        <f>D1507+F1507+G1507+H1507+I1507+K1507+L1507+M1507+O1507+P1507+Q1507+R1507+S1507+W1507+V1507+X1507</f>
        <v>3037801.66</v>
      </c>
      <c r="D1507" s="9"/>
      <c r="E1507" s="9"/>
      <c r="F1507" s="9"/>
      <c r="G1507" s="12"/>
      <c r="H1507" s="13"/>
      <c r="I1507" s="13"/>
      <c r="J1507" s="21"/>
      <c r="K1507" s="9"/>
      <c r="L1507" s="12"/>
      <c r="M1507" s="22"/>
      <c r="N1507" s="204">
        <v>1</v>
      </c>
      <c r="O1507" s="47">
        <f>(1*3037801.66-V1507)/101.5*100</f>
        <v>2918085.34</v>
      </c>
      <c r="P1507" s="9"/>
      <c r="Q1507" s="9"/>
      <c r="R1507" s="9"/>
      <c r="S1507" s="13"/>
      <c r="T1507" s="110"/>
      <c r="U1507" s="110"/>
      <c r="V1507" s="3">
        <v>75945.039999999994</v>
      </c>
      <c r="W1507" s="41">
        <f>O1507*1.5/100</f>
        <v>43771.28</v>
      </c>
      <c r="X1507" s="21"/>
      <c r="Y1507" s="21"/>
      <c r="Z1507" s="21"/>
      <c r="AA1507" s="21"/>
      <c r="AB1507" s="24">
        <f>C1507</f>
        <v>3037801.66</v>
      </c>
      <c r="AC1507" s="18"/>
      <c r="AD1507" s="18">
        <v>2025</v>
      </c>
      <c r="AE1507" s="18">
        <v>2025</v>
      </c>
      <c r="AF1507" s="25"/>
      <c r="AG1507" s="91"/>
    </row>
    <row r="1508" spans="1:33" s="26" customFormat="1" ht="24" customHeight="1">
      <c r="A1508" s="585">
        <f>A1507+1</f>
        <v>378</v>
      </c>
      <c r="B1508" s="633" t="s">
        <v>1108</v>
      </c>
      <c r="C1508" s="587">
        <f t="shared" ref="C1508:C1509" si="711">D1508+F1508+G1508+H1508+I1508+K1508+L1508+M1508+O1508+P1508+Q1508+R1508+S1508+W1508+V1508+X1508</f>
        <v>3849957.96</v>
      </c>
      <c r="D1508" s="580"/>
      <c r="E1508" s="580"/>
      <c r="F1508" s="580"/>
      <c r="G1508" s="578"/>
      <c r="H1508" s="582"/>
      <c r="I1508" s="582"/>
      <c r="J1508" s="581"/>
      <c r="K1508" s="580"/>
      <c r="L1508" s="578"/>
      <c r="M1508" s="579"/>
      <c r="N1508" s="833">
        <v>1</v>
      </c>
      <c r="O1508" s="636">
        <v>3614984</v>
      </c>
      <c r="P1508" s="580"/>
      <c r="Q1508" s="580"/>
      <c r="R1508" s="580"/>
      <c r="S1508" s="582"/>
      <c r="T1508" s="582"/>
      <c r="U1508" s="582"/>
      <c r="V1508" s="583">
        <v>180749.2</v>
      </c>
      <c r="W1508" s="637">
        <v>54224.76</v>
      </c>
      <c r="X1508" s="581"/>
      <c r="Y1508" s="581"/>
      <c r="Z1508" s="581"/>
      <c r="AA1508" s="581"/>
      <c r="AB1508" s="584">
        <f t="shared" ref="AB1508:AB1509" si="712">C1508</f>
        <v>3849957.96</v>
      </c>
      <c r="AC1508" s="585"/>
      <c r="AD1508" s="585">
        <v>2025</v>
      </c>
      <c r="AE1508" s="585">
        <v>2026</v>
      </c>
      <c r="AF1508" s="91"/>
      <c r="AG1508" s="91"/>
    </row>
    <row r="1509" spans="1:33" s="26" customFormat="1" ht="24" customHeight="1">
      <c r="A1509" s="585">
        <f t="shared" ref="A1509:A1513" si="713">A1508+1</f>
        <v>379</v>
      </c>
      <c r="B1509" s="633" t="s">
        <v>1109</v>
      </c>
      <c r="C1509" s="587">
        <f t="shared" si="711"/>
        <v>20923900.73</v>
      </c>
      <c r="D1509" s="580"/>
      <c r="E1509" s="580"/>
      <c r="F1509" s="580"/>
      <c r="G1509" s="578"/>
      <c r="H1509" s="582"/>
      <c r="I1509" s="582"/>
      <c r="J1509" s="581"/>
      <c r="K1509" s="580"/>
      <c r="L1509" s="578"/>
      <c r="M1509" s="579"/>
      <c r="N1509" s="833"/>
      <c r="O1509" s="636"/>
      <c r="P1509" s="580">
        <v>19646855.140000001</v>
      </c>
      <c r="Q1509" s="580"/>
      <c r="R1509" s="580"/>
      <c r="S1509" s="582"/>
      <c r="T1509" s="582"/>
      <c r="U1509" s="582"/>
      <c r="V1509" s="583">
        <v>982342.76</v>
      </c>
      <c r="W1509" s="637">
        <v>294702.83</v>
      </c>
      <c r="X1509" s="581"/>
      <c r="Y1509" s="581"/>
      <c r="Z1509" s="581"/>
      <c r="AA1509" s="581"/>
      <c r="AB1509" s="584">
        <f t="shared" si="712"/>
        <v>20923900.73</v>
      </c>
      <c r="AC1509" s="585"/>
      <c r="AD1509" s="585">
        <v>2025</v>
      </c>
      <c r="AE1509" s="585">
        <v>2026</v>
      </c>
      <c r="AF1509" s="91"/>
      <c r="AG1509" s="91"/>
    </row>
    <row r="1510" spans="1:33" s="26" customFormat="1" ht="23.25" customHeight="1">
      <c r="A1510" s="585">
        <f t="shared" si="713"/>
        <v>380</v>
      </c>
      <c r="B1510" s="59" t="s">
        <v>335</v>
      </c>
      <c r="C1510" s="4">
        <f>D1510+F1510+G1510+H1510+I1510+K1510+L1510+M1510+O1510+P1510+Q1510+R1510+S1510+W1510+V1510+X1510</f>
        <v>8734520.0199999996</v>
      </c>
      <c r="D1510" s="9"/>
      <c r="E1510" s="9"/>
      <c r="F1510" s="9"/>
      <c r="G1510" s="12"/>
      <c r="H1510" s="13"/>
      <c r="I1510" s="13"/>
      <c r="J1510" s="21"/>
      <c r="K1510" s="9"/>
      <c r="L1510" s="12"/>
      <c r="M1510" s="22"/>
      <c r="N1510" s="204"/>
      <c r="O1510" s="12"/>
      <c r="P1510" s="9">
        <f>ROUND(975*7909.01,2)</f>
        <v>7711284.75</v>
      </c>
      <c r="Q1510" s="9"/>
      <c r="R1510" s="9"/>
      <c r="S1510" s="13"/>
      <c r="T1510" s="110"/>
      <c r="U1510" s="110"/>
      <c r="V1510" s="3">
        <v>907566</v>
      </c>
      <c r="W1510" s="24">
        <f>ROUND((D1510+F1510+G1510+H1510+I1510+K1510+L1510+M1510+O1510+P1510+Q1510+R1510+S1510)*1.5%,2)</f>
        <v>115669.27</v>
      </c>
      <c r="X1510" s="21"/>
      <c r="Y1510" s="21"/>
      <c r="Z1510" s="21"/>
      <c r="AA1510" s="21"/>
      <c r="AB1510" s="24">
        <f t="shared" ref="AB1510:AB1513" si="714">C1510</f>
        <v>8734520.0199999996</v>
      </c>
      <c r="AC1510" s="18"/>
      <c r="AD1510" s="18">
        <v>2025</v>
      </c>
      <c r="AE1510" s="18">
        <v>2025</v>
      </c>
      <c r="AF1510" s="25"/>
      <c r="AG1510" s="91"/>
    </row>
    <row r="1511" spans="1:33" s="26" customFormat="1" ht="24" customHeight="1">
      <c r="A1511" s="585">
        <f t="shared" si="713"/>
        <v>381</v>
      </c>
      <c r="B1511" s="633" t="s">
        <v>1110</v>
      </c>
      <c r="C1511" s="587">
        <f t="shared" ref="C1511:C1513" si="715">D1511+F1511+G1511+H1511+I1511+K1511+L1511+M1511+O1511+P1511+Q1511+R1511+S1511+W1511+V1511+X1511</f>
        <v>3849957.96</v>
      </c>
      <c r="D1511" s="580"/>
      <c r="E1511" s="580"/>
      <c r="F1511" s="580"/>
      <c r="G1511" s="578"/>
      <c r="H1511" s="582"/>
      <c r="I1511" s="582"/>
      <c r="J1511" s="581"/>
      <c r="K1511" s="580"/>
      <c r="L1511" s="578"/>
      <c r="M1511" s="579"/>
      <c r="N1511" s="833">
        <v>1</v>
      </c>
      <c r="O1511" s="578">
        <v>3614984</v>
      </c>
      <c r="P1511" s="580"/>
      <c r="Q1511" s="580"/>
      <c r="R1511" s="580"/>
      <c r="S1511" s="582"/>
      <c r="T1511" s="582"/>
      <c r="U1511" s="582"/>
      <c r="V1511" s="583">
        <v>180749.2</v>
      </c>
      <c r="W1511" s="584">
        <v>54224.76</v>
      </c>
      <c r="X1511" s="581"/>
      <c r="Y1511" s="581"/>
      <c r="Z1511" s="581"/>
      <c r="AA1511" s="581"/>
      <c r="AB1511" s="584">
        <f t="shared" si="714"/>
        <v>3849957.96</v>
      </c>
      <c r="AC1511" s="585"/>
      <c r="AD1511" s="585">
        <v>2025</v>
      </c>
      <c r="AE1511" s="585">
        <v>2026</v>
      </c>
      <c r="AF1511" s="91"/>
      <c r="AG1511" s="91"/>
    </row>
    <row r="1512" spans="1:33" s="26" customFormat="1" ht="24" customHeight="1">
      <c r="A1512" s="585">
        <f t="shared" si="713"/>
        <v>382</v>
      </c>
      <c r="B1512" s="633" t="s">
        <v>1111</v>
      </c>
      <c r="C1512" s="587">
        <f t="shared" si="715"/>
        <v>3849957.96</v>
      </c>
      <c r="D1512" s="580"/>
      <c r="E1512" s="580"/>
      <c r="F1512" s="580"/>
      <c r="G1512" s="578"/>
      <c r="H1512" s="582"/>
      <c r="I1512" s="582"/>
      <c r="J1512" s="581"/>
      <c r="K1512" s="580"/>
      <c r="L1512" s="578"/>
      <c r="M1512" s="579"/>
      <c r="N1512" s="833">
        <v>1</v>
      </c>
      <c r="O1512" s="578">
        <v>3614984</v>
      </c>
      <c r="P1512" s="580"/>
      <c r="Q1512" s="580"/>
      <c r="R1512" s="580"/>
      <c r="S1512" s="582"/>
      <c r="T1512" s="582"/>
      <c r="U1512" s="582"/>
      <c r="V1512" s="583">
        <v>180749.2</v>
      </c>
      <c r="W1512" s="584">
        <v>54224.76</v>
      </c>
      <c r="X1512" s="581"/>
      <c r="Y1512" s="581"/>
      <c r="Z1512" s="581"/>
      <c r="AA1512" s="581"/>
      <c r="AB1512" s="584">
        <f t="shared" si="714"/>
        <v>3849957.96</v>
      </c>
      <c r="AC1512" s="585"/>
      <c r="AD1512" s="585">
        <v>2025</v>
      </c>
      <c r="AE1512" s="585">
        <v>2026</v>
      </c>
      <c r="AF1512" s="91"/>
      <c r="AG1512" s="91"/>
    </row>
    <row r="1513" spans="1:33" s="26" customFormat="1" ht="24" customHeight="1">
      <c r="A1513" s="585">
        <f t="shared" si="713"/>
        <v>383</v>
      </c>
      <c r="B1513" s="633" t="s">
        <v>1112</v>
      </c>
      <c r="C1513" s="587">
        <f t="shared" si="715"/>
        <v>3849957.96</v>
      </c>
      <c r="D1513" s="580"/>
      <c r="E1513" s="580"/>
      <c r="F1513" s="580"/>
      <c r="G1513" s="578"/>
      <c r="H1513" s="582"/>
      <c r="I1513" s="582"/>
      <c r="J1513" s="581"/>
      <c r="K1513" s="580"/>
      <c r="L1513" s="578"/>
      <c r="M1513" s="579"/>
      <c r="N1513" s="833">
        <v>1</v>
      </c>
      <c r="O1513" s="578">
        <v>3614984</v>
      </c>
      <c r="P1513" s="580"/>
      <c r="Q1513" s="580"/>
      <c r="R1513" s="580"/>
      <c r="S1513" s="582"/>
      <c r="T1513" s="582"/>
      <c r="U1513" s="582"/>
      <c r="V1513" s="583">
        <v>180749.2</v>
      </c>
      <c r="W1513" s="584">
        <v>54224.76</v>
      </c>
      <c r="X1513" s="581"/>
      <c r="Y1513" s="581"/>
      <c r="Z1513" s="581"/>
      <c r="AA1513" s="581"/>
      <c r="AB1513" s="584">
        <f t="shared" si="714"/>
        <v>3849957.96</v>
      </c>
      <c r="AC1513" s="585"/>
      <c r="AD1513" s="585">
        <v>2025</v>
      </c>
      <c r="AE1513" s="585">
        <v>2026</v>
      </c>
      <c r="AF1513" s="91"/>
      <c r="AG1513" s="91"/>
    </row>
    <row r="1514" spans="1:33" s="148" customFormat="1" ht="24" customHeight="1">
      <c r="A1514" s="883" t="s">
        <v>262</v>
      </c>
      <c r="B1514" s="883"/>
      <c r="C1514" s="16">
        <f>SUM(C1507:C1513)</f>
        <v>48096054.25</v>
      </c>
      <c r="D1514" s="16">
        <f t="shared" ref="D1514:AC1514" si="716">SUM(D1507:D1513)</f>
        <v>0</v>
      </c>
      <c r="E1514" s="16">
        <f t="shared" si="716"/>
        <v>0</v>
      </c>
      <c r="F1514" s="16">
        <f t="shared" si="716"/>
        <v>0</v>
      </c>
      <c r="G1514" s="16">
        <f t="shared" si="716"/>
        <v>0</v>
      </c>
      <c r="H1514" s="16">
        <f t="shared" si="716"/>
        <v>0</v>
      </c>
      <c r="I1514" s="16">
        <f t="shared" si="716"/>
        <v>0</v>
      </c>
      <c r="J1514" s="16">
        <f t="shared" si="716"/>
        <v>0</v>
      </c>
      <c r="K1514" s="16">
        <f t="shared" si="716"/>
        <v>0</v>
      </c>
      <c r="L1514" s="16">
        <f t="shared" si="716"/>
        <v>0</v>
      </c>
      <c r="M1514" s="16">
        <f t="shared" si="716"/>
        <v>0</v>
      </c>
      <c r="N1514" s="396">
        <f t="shared" si="716"/>
        <v>5</v>
      </c>
      <c r="O1514" s="16">
        <f t="shared" si="716"/>
        <v>17378021.34</v>
      </c>
      <c r="P1514" s="16">
        <f t="shared" si="716"/>
        <v>27358139.890000001</v>
      </c>
      <c r="Q1514" s="16">
        <f t="shared" si="716"/>
        <v>0</v>
      </c>
      <c r="R1514" s="16">
        <f t="shared" si="716"/>
        <v>0</v>
      </c>
      <c r="S1514" s="16">
        <f t="shared" si="716"/>
        <v>0</v>
      </c>
      <c r="T1514" s="16">
        <f t="shared" si="716"/>
        <v>0</v>
      </c>
      <c r="U1514" s="16">
        <f t="shared" si="716"/>
        <v>0</v>
      </c>
      <c r="V1514" s="16">
        <f t="shared" si="716"/>
        <v>2688850.6</v>
      </c>
      <c r="W1514" s="16">
        <f t="shared" si="716"/>
        <v>671042.42000000004</v>
      </c>
      <c r="X1514" s="16">
        <f t="shared" si="716"/>
        <v>0</v>
      </c>
      <c r="Y1514" s="16">
        <f t="shared" si="716"/>
        <v>0</v>
      </c>
      <c r="Z1514" s="16">
        <f t="shared" si="716"/>
        <v>0</v>
      </c>
      <c r="AA1514" s="16">
        <f t="shared" si="716"/>
        <v>0</v>
      </c>
      <c r="AB1514" s="16">
        <f t="shared" si="716"/>
        <v>48096054.25</v>
      </c>
      <c r="AC1514" s="16">
        <f t="shared" si="716"/>
        <v>0</v>
      </c>
      <c r="AD1514" s="798" t="s">
        <v>29</v>
      </c>
      <c r="AE1514" s="798" t="s">
        <v>29</v>
      </c>
      <c r="AF1514" s="146"/>
      <c r="AG1514" s="147"/>
    </row>
    <row r="1515" spans="1:33" ht="24" customHeight="1">
      <c r="A1515" s="884" t="s">
        <v>1297</v>
      </c>
      <c r="B1515" s="884"/>
      <c r="C1515" s="884"/>
      <c r="D1515" s="884"/>
      <c r="E1515" s="884"/>
      <c r="F1515" s="884"/>
      <c r="G1515" s="884"/>
      <c r="H1515" s="884"/>
      <c r="I1515" s="884"/>
      <c r="J1515" s="884"/>
      <c r="K1515" s="884"/>
      <c r="L1515" s="884"/>
      <c r="M1515" s="884"/>
      <c r="N1515" s="884"/>
      <c r="O1515" s="884"/>
      <c r="P1515" s="884"/>
      <c r="Q1515" s="884"/>
      <c r="R1515" s="884"/>
      <c r="S1515" s="884"/>
      <c r="T1515" s="884"/>
      <c r="U1515" s="884"/>
      <c r="V1515" s="884"/>
      <c r="W1515" s="884"/>
      <c r="X1515" s="884"/>
      <c r="Y1515" s="884"/>
      <c r="Z1515" s="884"/>
      <c r="AA1515" s="884"/>
      <c r="AB1515" s="884"/>
      <c r="AC1515" s="884"/>
      <c r="AD1515" s="884"/>
      <c r="AE1515" s="884"/>
      <c r="AF1515" s="808"/>
      <c r="AG1515" s="806"/>
    </row>
    <row r="1516" spans="1:33" s="26" customFormat="1" ht="24" customHeight="1">
      <c r="A1516" s="18">
        <f>A1513+1</f>
        <v>384</v>
      </c>
      <c r="B1516" s="37" t="s">
        <v>257</v>
      </c>
      <c r="C1516" s="4">
        <f>D1516+F1516+G1516+H1516+I1516+K1516+L1516+M1516+O1516+P1516+Q1516+R1516+S1516+W1516+V1516+X1516</f>
        <v>1980845.49</v>
      </c>
      <c r="D1516" s="9">
        <v>734164.65</v>
      </c>
      <c r="E1516" s="9"/>
      <c r="F1516" s="9"/>
      <c r="G1516" s="73">
        <v>742254.55</v>
      </c>
      <c r="H1516" s="13"/>
      <c r="I1516" s="13"/>
      <c r="J1516" s="21"/>
      <c r="K1516" s="9"/>
      <c r="L1516" s="12"/>
      <c r="M1516" s="22"/>
      <c r="N1516" s="807"/>
      <c r="O1516" s="12"/>
      <c r="P1516" s="9"/>
      <c r="Q1516" s="9"/>
      <c r="R1516" s="9"/>
      <c r="S1516" s="13"/>
      <c r="T1516" s="110"/>
      <c r="U1516" s="110"/>
      <c r="V1516" s="3">
        <v>482280</v>
      </c>
      <c r="W1516" s="24">
        <f>ROUND((D1516+F1516+G1516+H1516+I1516+K1516+L1516+M1516+O1516+P1516+Q1516+R1516+S1516)*1.5%,2)</f>
        <v>22146.29</v>
      </c>
      <c r="X1516" s="21"/>
      <c r="Y1516" s="21"/>
      <c r="Z1516" s="21"/>
      <c r="AA1516" s="21"/>
      <c r="AB1516" s="24">
        <f>C1516</f>
        <v>1980845.49</v>
      </c>
      <c r="AC1516" s="18"/>
      <c r="AD1516" s="18">
        <v>2025</v>
      </c>
      <c r="AE1516" s="18">
        <v>2025</v>
      </c>
      <c r="AF1516" s="25"/>
      <c r="AG1516" s="91"/>
    </row>
    <row r="1517" spans="1:33" s="148" customFormat="1" ht="24" customHeight="1">
      <c r="A1517" s="883" t="s">
        <v>262</v>
      </c>
      <c r="B1517" s="883"/>
      <c r="C1517" s="16">
        <f t="shared" ref="C1517" si="717">SUM(C1516:C1516)</f>
        <v>1980845.49</v>
      </c>
      <c r="D1517" s="6">
        <f t="shared" ref="D1517" si="718">SUM(D1516:D1516)</f>
        <v>734164.65</v>
      </c>
      <c r="E1517" s="6">
        <f t="shared" ref="E1517" si="719">SUM(E1516:E1516)</f>
        <v>0</v>
      </c>
      <c r="F1517" s="6">
        <f t="shared" ref="F1517" si="720">SUM(F1516:F1516)</f>
        <v>0</v>
      </c>
      <c r="G1517" s="6">
        <f t="shared" ref="G1517" si="721">SUM(G1516:G1516)</f>
        <v>742254.55</v>
      </c>
      <c r="H1517" s="6">
        <f t="shared" ref="H1517" si="722">SUM(H1516:H1516)</f>
        <v>0</v>
      </c>
      <c r="I1517" s="6">
        <f t="shared" ref="I1517" si="723">SUM(I1516:I1516)</f>
        <v>0</v>
      </c>
      <c r="J1517" s="6">
        <f t="shared" ref="J1517" si="724">SUM(J1516:J1516)</f>
        <v>0</v>
      </c>
      <c r="K1517" s="6">
        <f t="shared" ref="K1517" si="725">SUM(K1516:K1516)</f>
        <v>0</v>
      </c>
      <c r="L1517" s="6">
        <f t="shared" ref="L1517" si="726">SUM(L1516:L1516)</f>
        <v>0</v>
      </c>
      <c r="M1517" s="6">
        <f t="shared" ref="M1517" si="727">SUM(M1516:M1516)</f>
        <v>0</v>
      </c>
      <c r="N1517" s="33"/>
      <c r="O1517" s="6">
        <f t="shared" ref="O1517" si="728">SUM(O1516:O1516)</f>
        <v>0</v>
      </c>
      <c r="P1517" s="6">
        <f t="shared" ref="P1517" si="729">SUM(P1516:P1516)</f>
        <v>0</v>
      </c>
      <c r="Q1517" s="6">
        <f t="shared" ref="Q1517" si="730">SUM(Q1516:Q1516)</f>
        <v>0</v>
      </c>
      <c r="R1517" s="6">
        <f t="shared" ref="R1517" si="731">SUM(R1516:R1516)</f>
        <v>0</v>
      </c>
      <c r="S1517" s="6">
        <f t="shared" ref="S1517" si="732">SUM(S1516:S1516)</f>
        <v>0</v>
      </c>
      <c r="T1517" s="140"/>
      <c r="U1517" s="140"/>
      <c r="V1517" s="16">
        <f t="shared" ref="V1517" si="733">SUM(V1516:V1516)</f>
        <v>482280</v>
      </c>
      <c r="W1517" s="16">
        <f t="shared" ref="W1517" si="734">SUM(W1516:W1516)</f>
        <v>22146.29</v>
      </c>
      <c r="X1517" s="16">
        <f t="shared" ref="X1517" si="735">SUM(X1516:X1516)</f>
        <v>0</v>
      </c>
      <c r="Y1517" s="16">
        <f t="shared" ref="Y1517" si="736">SUM(Y1516:Y1516)</f>
        <v>0</v>
      </c>
      <c r="Z1517" s="16">
        <f t="shared" ref="Z1517" si="737">SUM(Z1516:Z1516)</f>
        <v>0</v>
      </c>
      <c r="AA1517" s="16">
        <f t="shared" ref="AA1517" si="738">SUM(AA1516:AA1516)</f>
        <v>0</v>
      </c>
      <c r="AB1517" s="16">
        <f t="shared" ref="AB1517" si="739">SUM(AB1516:AB1516)</f>
        <v>1980845.49</v>
      </c>
      <c r="AC1517" s="798"/>
      <c r="AD1517" s="798" t="s">
        <v>29</v>
      </c>
      <c r="AE1517" s="798" t="s">
        <v>29</v>
      </c>
      <c r="AF1517" s="146"/>
      <c r="AG1517" s="147"/>
    </row>
    <row r="1518" spans="1:33" s="148" customFormat="1" ht="41.25" customHeight="1">
      <c r="A1518" s="881" t="s">
        <v>1311</v>
      </c>
      <c r="B1518" s="882"/>
      <c r="C1518" s="16">
        <f>C1517+C1514</f>
        <v>50076899.740000002</v>
      </c>
      <c r="D1518" s="16">
        <f t="shared" ref="D1518" si="740">D1517+D1514</f>
        <v>734164.65</v>
      </c>
      <c r="E1518" s="16">
        <f t="shared" ref="E1518" si="741">E1517+E1514</f>
        <v>0</v>
      </c>
      <c r="F1518" s="16">
        <f t="shared" ref="F1518" si="742">F1517+F1514</f>
        <v>0</v>
      </c>
      <c r="G1518" s="6">
        <f t="shared" ref="G1518" si="743">G1517+G1514</f>
        <v>742254.55</v>
      </c>
      <c r="H1518" s="16">
        <f t="shared" ref="H1518" si="744">H1517+H1514</f>
        <v>0</v>
      </c>
      <c r="I1518" s="16">
        <f t="shared" ref="I1518" si="745">I1517+I1514</f>
        <v>0</v>
      </c>
      <c r="J1518" s="16">
        <f t="shared" ref="J1518" si="746">J1517+J1514</f>
        <v>0</v>
      </c>
      <c r="K1518" s="16">
        <f t="shared" ref="K1518" si="747">K1517+K1514</f>
        <v>0</v>
      </c>
      <c r="L1518" s="16">
        <f t="shared" ref="L1518" si="748">L1517+L1514</f>
        <v>0</v>
      </c>
      <c r="M1518" s="16">
        <f t="shared" ref="M1518" si="749">M1517+M1514</f>
        <v>0</v>
      </c>
      <c r="N1518" s="798">
        <f t="shared" ref="N1518" si="750">N1517+N1514</f>
        <v>5</v>
      </c>
      <c r="O1518" s="16">
        <f t="shared" ref="O1518" si="751">O1517+O1514</f>
        <v>17378021.34</v>
      </c>
      <c r="P1518" s="16">
        <f t="shared" ref="P1518" si="752">P1517+P1514</f>
        <v>27358139.890000001</v>
      </c>
      <c r="Q1518" s="16">
        <f t="shared" ref="Q1518" si="753">Q1517+Q1514</f>
        <v>0</v>
      </c>
      <c r="R1518" s="16">
        <f t="shared" ref="R1518" si="754">R1517+R1514</f>
        <v>0</v>
      </c>
      <c r="S1518" s="16">
        <f t="shared" ref="S1518" si="755">S1517+S1514</f>
        <v>0</v>
      </c>
      <c r="T1518" s="141"/>
      <c r="U1518" s="141"/>
      <c r="V1518" s="16">
        <f t="shared" ref="V1518" si="756">V1517+V1514</f>
        <v>3171130.6</v>
      </c>
      <c r="W1518" s="16">
        <f t="shared" ref="W1518" si="757">W1517+W1514</f>
        <v>693188.71</v>
      </c>
      <c r="X1518" s="16">
        <f t="shared" ref="X1518" si="758">X1517+X1514</f>
        <v>0</v>
      </c>
      <c r="Y1518" s="16">
        <f t="shared" ref="Y1518" si="759">Y1517+Y1514</f>
        <v>0</v>
      </c>
      <c r="Z1518" s="16">
        <f t="shared" ref="Z1518" si="760">Z1517+Z1514</f>
        <v>0</v>
      </c>
      <c r="AA1518" s="16">
        <f t="shared" ref="AA1518" si="761">AA1517+AA1514</f>
        <v>0</v>
      </c>
      <c r="AB1518" s="16">
        <f t="shared" ref="AB1518" si="762">AB1517+AB1514</f>
        <v>50076899.740000002</v>
      </c>
      <c r="AC1518" s="16">
        <f t="shared" ref="AC1518" si="763">AC1517+AC1514</f>
        <v>0</v>
      </c>
      <c r="AD1518" s="798" t="s">
        <v>29</v>
      </c>
      <c r="AE1518" s="798" t="s">
        <v>29</v>
      </c>
      <c r="AF1518" s="146"/>
      <c r="AG1518" s="147"/>
    </row>
    <row r="1519" spans="1:33" s="148" customFormat="1" ht="24" customHeight="1">
      <c r="A1519" s="885" t="s">
        <v>1299</v>
      </c>
      <c r="B1519" s="886"/>
      <c r="C1519" s="886"/>
      <c r="D1519" s="886"/>
      <c r="E1519" s="886"/>
      <c r="F1519" s="886"/>
      <c r="G1519" s="886"/>
      <c r="H1519" s="886"/>
      <c r="I1519" s="886"/>
      <c r="J1519" s="886"/>
      <c r="K1519" s="886"/>
      <c r="L1519" s="886"/>
      <c r="M1519" s="886"/>
      <c r="N1519" s="886"/>
      <c r="O1519" s="886"/>
      <c r="P1519" s="886"/>
      <c r="Q1519" s="886"/>
      <c r="R1519" s="886"/>
      <c r="S1519" s="886"/>
      <c r="T1519" s="886"/>
      <c r="U1519" s="886"/>
      <c r="V1519" s="886"/>
      <c r="W1519" s="886"/>
      <c r="X1519" s="886"/>
      <c r="Y1519" s="886"/>
      <c r="Z1519" s="886"/>
      <c r="AA1519" s="886"/>
      <c r="AB1519" s="886"/>
      <c r="AC1519" s="886"/>
      <c r="AD1519" s="886"/>
      <c r="AE1519" s="887"/>
      <c r="AF1519" s="146"/>
      <c r="AG1519" s="147"/>
    </row>
    <row r="1520" spans="1:33" ht="24" customHeight="1">
      <c r="A1520" s="884" t="s">
        <v>1300</v>
      </c>
      <c r="B1520" s="884"/>
      <c r="C1520" s="884"/>
      <c r="D1520" s="884"/>
      <c r="E1520" s="884"/>
      <c r="F1520" s="884"/>
      <c r="G1520" s="884"/>
      <c r="H1520" s="884"/>
      <c r="I1520" s="884"/>
      <c r="J1520" s="884"/>
      <c r="K1520" s="884"/>
      <c r="L1520" s="884"/>
      <c r="M1520" s="884"/>
      <c r="N1520" s="884"/>
      <c r="O1520" s="884"/>
      <c r="P1520" s="884"/>
      <c r="Q1520" s="884"/>
      <c r="R1520" s="884"/>
      <c r="S1520" s="884"/>
      <c r="T1520" s="884"/>
      <c r="U1520" s="884"/>
      <c r="V1520" s="884"/>
      <c r="W1520" s="884"/>
      <c r="X1520" s="884"/>
      <c r="Y1520" s="884"/>
      <c r="Z1520" s="884"/>
      <c r="AA1520" s="884"/>
      <c r="AB1520" s="884"/>
      <c r="AC1520" s="884"/>
      <c r="AD1520" s="884"/>
      <c r="AE1520" s="884"/>
      <c r="AF1520" s="808"/>
      <c r="AG1520" s="806"/>
    </row>
    <row r="1521" spans="1:33" ht="24" customHeight="1">
      <c r="A1521" s="585">
        <f>A1516+1</f>
        <v>385</v>
      </c>
      <c r="B1521" s="639" t="s">
        <v>1113</v>
      </c>
      <c r="C1521" s="587">
        <f>D1521+F1521+G1521+H1521+I1521+K1521+L1521+M1521+O1521+P1521+Q1521+R1521+S1521+W1521+V1521+X1521</f>
        <v>12493783.210000001</v>
      </c>
      <c r="D1521" s="580"/>
      <c r="E1521" s="580"/>
      <c r="F1521" s="580"/>
      <c r="G1521" s="578"/>
      <c r="H1521" s="582"/>
      <c r="I1521" s="582"/>
      <c r="J1521" s="581"/>
      <c r="K1521" s="580"/>
      <c r="L1521" s="578"/>
      <c r="M1521" s="579"/>
      <c r="N1521" s="606"/>
      <c r="O1521" s="578"/>
      <c r="P1521" s="580">
        <v>11731251.84</v>
      </c>
      <c r="Q1521" s="580"/>
      <c r="R1521" s="580"/>
      <c r="S1521" s="582"/>
      <c r="T1521" s="582"/>
      <c r="U1521" s="582"/>
      <c r="V1521" s="638">
        <v>586562.59</v>
      </c>
      <c r="W1521" s="584">
        <f>ROUND((D1521+F1521+G1521+H1521+I1521+K1521+L1521+M1521+O1521+P1521+Q1521+R1521+S1521)*1.5%,2)</f>
        <v>175968.78</v>
      </c>
      <c r="X1521" s="581"/>
      <c r="Y1521" s="581"/>
      <c r="Z1521" s="581"/>
      <c r="AA1521" s="581"/>
      <c r="AB1521" s="584">
        <f>C1521</f>
        <v>12493783.210000001</v>
      </c>
      <c r="AC1521" s="585"/>
      <c r="AD1521" s="585">
        <v>2025</v>
      </c>
      <c r="AE1521" s="585">
        <v>2026</v>
      </c>
      <c r="AF1521" s="571"/>
      <c r="AG1521" s="571"/>
    </row>
    <row r="1522" spans="1:33" s="26" customFormat="1" ht="24" customHeight="1">
      <c r="A1522" s="585">
        <f>A1521+1</f>
        <v>386</v>
      </c>
      <c r="B1522" s="68" t="s">
        <v>336</v>
      </c>
      <c r="C1522" s="4">
        <f>D1522+F1522+G1522+H1522+I1522+K1522+L1522+M1522+O1522+P1522+Q1522+R1522+S1522+W1522+V1522+X1522</f>
        <v>8426571.1699999999</v>
      </c>
      <c r="D1522" s="9"/>
      <c r="E1522" s="9"/>
      <c r="F1522" s="9"/>
      <c r="G1522" s="12"/>
      <c r="H1522" s="13"/>
      <c r="I1522" s="13"/>
      <c r="J1522" s="21"/>
      <c r="K1522" s="9"/>
      <c r="L1522" s="12"/>
      <c r="M1522" s="22"/>
      <c r="N1522" s="807"/>
      <c r="O1522" s="12"/>
      <c r="P1522" s="9">
        <f>ROUND(622*12292.23,2)</f>
        <v>7645767.0599999996</v>
      </c>
      <c r="Q1522" s="9"/>
      <c r="R1522" s="9"/>
      <c r="S1522" s="13"/>
      <c r="T1522" s="110"/>
      <c r="U1522" s="110"/>
      <c r="V1522" s="58">
        <v>666117.6</v>
      </c>
      <c r="W1522" s="24">
        <f>ROUND((D1522+F1522+G1522+H1522+I1522+K1522+L1522+M1522+O1522+P1522+Q1522+R1522+S1522)*1.5%,2)</f>
        <v>114686.51</v>
      </c>
      <c r="X1522" s="21"/>
      <c r="Y1522" s="21"/>
      <c r="Z1522" s="21"/>
      <c r="AA1522" s="21"/>
      <c r="AB1522" s="24">
        <f>C1522</f>
        <v>8426571.1699999999</v>
      </c>
      <c r="AC1522" s="18"/>
      <c r="AD1522" s="18">
        <v>2025</v>
      </c>
      <c r="AE1522" s="18">
        <v>2025</v>
      </c>
      <c r="AF1522" s="25"/>
      <c r="AG1522" s="91"/>
    </row>
    <row r="1523" spans="1:33" s="26" customFormat="1" ht="24" customHeight="1">
      <c r="A1523" s="585">
        <f>A1522+1</f>
        <v>387</v>
      </c>
      <c r="B1523" s="639" t="s">
        <v>1320</v>
      </c>
      <c r="C1523" s="587">
        <f t="shared" ref="C1523" si="764">D1523+F1523+G1523+H1523+I1523+K1523+L1523+M1523+O1523+P1523+Q1523+R1523+S1523+U1523+W1523+V1523+X1523</f>
        <v>1861001.14</v>
      </c>
      <c r="D1523" s="580"/>
      <c r="E1523" s="640">
        <v>1</v>
      </c>
      <c r="F1523" s="589">
        <v>1612809</v>
      </c>
      <c r="G1523" s="588"/>
      <c r="H1523" s="589"/>
      <c r="I1523" s="589"/>
      <c r="J1523" s="589"/>
      <c r="K1523" s="589"/>
      <c r="L1523" s="588"/>
      <c r="M1523" s="588"/>
      <c r="N1523" s="588"/>
      <c r="O1523" s="588"/>
      <c r="P1523" s="589"/>
      <c r="Q1523" s="589"/>
      <c r="R1523" s="589"/>
      <c r="S1523" s="589"/>
      <c r="T1523" s="589"/>
      <c r="U1523" s="589"/>
      <c r="V1523" s="590">
        <v>224000</v>
      </c>
      <c r="W1523" s="584">
        <v>24192.14</v>
      </c>
      <c r="X1523" s="589"/>
      <c r="Y1523" s="581"/>
      <c r="Z1523" s="584">
        <f>C1523</f>
        <v>1861001.14</v>
      </c>
      <c r="AA1523" s="581"/>
      <c r="AB1523" s="584"/>
      <c r="AC1523" s="585"/>
      <c r="AD1523" s="585">
        <v>2025</v>
      </c>
      <c r="AE1523" s="585">
        <v>2026</v>
      </c>
      <c r="AF1523" s="91"/>
      <c r="AG1523" s="91"/>
    </row>
    <row r="1524" spans="1:33" s="148" customFormat="1" ht="24" customHeight="1">
      <c r="A1524" s="883" t="s">
        <v>262</v>
      </c>
      <c r="B1524" s="883"/>
      <c r="C1524" s="16">
        <f>SUM(C1521:C1523)</f>
        <v>22781355.52</v>
      </c>
      <c r="D1524" s="16">
        <f t="shared" ref="D1524:AC1524" si="765">SUM(D1521:D1523)</f>
        <v>0</v>
      </c>
      <c r="E1524" s="396">
        <f t="shared" si="765"/>
        <v>1</v>
      </c>
      <c r="F1524" s="16">
        <f t="shared" si="765"/>
        <v>1612809</v>
      </c>
      <c r="G1524" s="16">
        <f t="shared" si="765"/>
        <v>0</v>
      </c>
      <c r="H1524" s="16">
        <f t="shared" si="765"/>
        <v>0</v>
      </c>
      <c r="I1524" s="16">
        <f t="shared" si="765"/>
        <v>0</v>
      </c>
      <c r="J1524" s="16">
        <f t="shared" si="765"/>
        <v>0</v>
      </c>
      <c r="K1524" s="16">
        <f t="shared" si="765"/>
        <v>0</v>
      </c>
      <c r="L1524" s="16">
        <f t="shared" si="765"/>
        <v>0</v>
      </c>
      <c r="M1524" s="16">
        <f t="shared" si="765"/>
        <v>0</v>
      </c>
      <c r="N1524" s="16">
        <f t="shared" si="765"/>
        <v>0</v>
      </c>
      <c r="O1524" s="16">
        <f t="shared" si="765"/>
        <v>0</v>
      </c>
      <c r="P1524" s="16">
        <f t="shared" si="765"/>
        <v>19377018.899999999</v>
      </c>
      <c r="Q1524" s="16">
        <f t="shared" si="765"/>
        <v>0</v>
      </c>
      <c r="R1524" s="16">
        <f t="shared" si="765"/>
        <v>0</v>
      </c>
      <c r="S1524" s="16">
        <f t="shared" si="765"/>
        <v>0</v>
      </c>
      <c r="T1524" s="16">
        <f t="shared" si="765"/>
        <v>0</v>
      </c>
      <c r="U1524" s="16">
        <f t="shared" si="765"/>
        <v>0</v>
      </c>
      <c r="V1524" s="16">
        <f t="shared" si="765"/>
        <v>1476680.19</v>
      </c>
      <c r="W1524" s="16">
        <f t="shared" si="765"/>
        <v>314847.43</v>
      </c>
      <c r="X1524" s="16">
        <f t="shared" si="765"/>
        <v>0</v>
      </c>
      <c r="Y1524" s="16">
        <f t="shared" si="765"/>
        <v>0</v>
      </c>
      <c r="Z1524" s="16">
        <f t="shared" si="765"/>
        <v>1861001.14</v>
      </c>
      <c r="AA1524" s="16">
        <f t="shared" si="765"/>
        <v>0</v>
      </c>
      <c r="AB1524" s="16">
        <f t="shared" si="765"/>
        <v>20920354.379999999</v>
      </c>
      <c r="AC1524" s="16">
        <f t="shared" si="765"/>
        <v>0</v>
      </c>
      <c r="AD1524" s="798" t="s">
        <v>29</v>
      </c>
      <c r="AE1524" s="798" t="s">
        <v>29</v>
      </c>
      <c r="AF1524" s="146"/>
      <c r="AG1524" s="147"/>
    </row>
    <row r="1525" spans="1:33" s="148" customFormat="1" ht="24" customHeight="1">
      <c r="A1525" s="881" t="s">
        <v>1312</v>
      </c>
      <c r="B1525" s="882"/>
      <c r="C1525" s="16">
        <f>SUM(C1524)</f>
        <v>22781355.52</v>
      </c>
      <c r="D1525" s="16">
        <f t="shared" ref="D1525" si="766">SUM(D1524)</f>
        <v>0</v>
      </c>
      <c r="E1525" s="396">
        <f t="shared" ref="E1525" si="767">SUM(E1524)</f>
        <v>1</v>
      </c>
      <c r="F1525" s="16">
        <f t="shared" ref="F1525" si="768">SUM(F1524)</f>
        <v>1612809</v>
      </c>
      <c r="G1525" s="6">
        <f t="shared" ref="G1525" si="769">SUM(G1524)</f>
        <v>0</v>
      </c>
      <c r="H1525" s="16">
        <f t="shared" ref="H1525" si="770">SUM(H1524)</f>
        <v>0</v>
      </c>
      <c r="I1525" s="16">
        <f t="shared" ref="I1525" si="771">SUM(I1524)</f>
        <v>0</v>
      </c>
      <c r="J1525" s="16">
        <f t="shared" ref="J1525" si="772">SUM(J1524)</f>
        <v>0</v>
      </c>
      <c r="K1525" s="16">
        <f t="shared" ref="K1525" si="773">SUM(K1524)</f>
        <v>0</v>
      </c>
      <c r="L1525" s="16">
        <f t="shared" ref="L1525" si="774">SUM(L1524)</f>
        <v>0</v>
      </c>
      <c r="M1525" s="16">
        <f t="shared" ref="M1525" si="775">SUM(M1524)</f>
        <v>0</v>
      </c>
      <c r="N1525" s="16">
        <f t="shared" ref="N1525" si="776">SUM(N1524)</f>
        <v>0</v>
      </c>
      <c r="O1525" s="16">
        <f t="shared" ref="O1525" si="777">SUM(O1524)</f>
        <v>0</v>
      </c>
      <c r="P1525" s="16">
        <f t="shared" ref="P1525" si="778">SUM(P1524)</f>
        <v>19377018.899999999</v>
      </c>
      <c r="Q1525" s="16">
        <f t="shared" ref="Q1525" si="779">SUM(Q1524)</f>
        <v>0</v>
      </c>
      <c r="R1525" s="16">
        <f t="shared" ref="R1525" si="780">SUM(R1524)</f>
        <v>0</v>
      </c>
      <c r="S1525" s="16">
        <f t="shared" ref="S1525" si="781">SUM(S1524)</f>
        <v>0</v>
      </c>
      <c r="T1525" s="141"/>
      <c r="U1525" s="141"/>
      <c r="V1525" s="16">
        <f t="shared" ref="V1525" si="782">SUM(V1524)</f>
        <v>1476680.19</v>
      </c>
      <c r="W1525" s="16">
        <f t="shared" ref="W1525" si="783">SUM(W1524)</f>
        <v>314847.43</v>
      </c>
      <c r="X1525" s="16">
        <f t="shared" ref="X1525" si="784">SUM(X1524)</f>
        <v>0</v>
      </c>
      <c r="Y1525" s="16">
        <f t="shared" ref="Y1525" si="785">SUM(Y1524)</f>
        <v>0</v>
      </c>
      <c r="Z1525" s="16">
        <f t="shared" ref="Z1525" si="786">SUM(Z1524)</f>
        <v>1861001.14</v>
      </c>
      <c r="AA1525" s="16">
        <f t="shared" ref="AA1525" si="787">SUM(AA1524)</f>
        <v>0</v>
      </c>
      <c r="AB1525" s="16">
        <f t="shared" ref="AB1525" si="788">SUM(AB1524)</f>
        <v>20920354.379999999</v>
      </c>
      <c r="AC1525" s="16">
        <f t="shared" ref="AC1525" si="789">SUM(AC1524)</f>
        <v>0</v>
      </c>
      <c r="AD1525" s="798" t="s">
        <v>29</v>
      </c>
      <c r="AE1525" s="798" t="s">
        <v>29</v>
      </c>
      <c r="AF1525" s="146"/>
      <c r="AG1525" s="147"/>
    </row>
    <row r="1527" spans="1:33" ht="15" customHeight="1">
      <c r="A1527" s="939" t="s">
        <v>777</v>
      </c>
      <c r="B1527" s="939"/>
      <c r="C1527" s="939"/>
      <c r="D1527" s="939"/>
      <c r="E1527" s="939"/>
      <c r="F1527" s="939"/>
      <c r="G1527" s="939"/>
      <c r="H1527" s="939"/>
      <c r="I1527" s="939"/>
      <c r="J1527" s="939"/>
      <c r="K1527" s="939"/>
      <c r="L1527" s="939"/>
      <c r="M1527" s="939"/>
      <c r="N1527" s="939"/>
      <c r="O1527" s="939"/>
      <c r="P1527" s="189"/>
      <c r="Q1527" s="189"/>
      <c r="R1527" s="189"/>
      <c r="S1527" s="189"/>
      <c r="T1527" s="189"/>
      <c r="U1527" s="189"/>
      <c r="V1527" s="189"/>
      <c r="W1527" s="189"/>
      <c r="X1527" s="189"/>
      <c r="Y1527" s="189"/>
      <c r="Z1527" s="189"/>
      <c r="AA1527" s="189"/>
      <c r="AB1527" s="189"/>
      <c r="AC1527" s="189"/>
      <c r="AD1527" s="190"/>
      <c r="AE1527" s="190"/>
      <c r="AG1527" s="17"/>
    </row>
    <row r="1528" spans="1:33" ht="15" customHeight="1">
      <c r="A1528" s="939" t="s">
        <v>778</v>
      </c>
      <c r="B1528" s="939"/>
      <c r="C1528" s="939"/>
      <c r="D1528" s="939"/>
      <c r="E1528" s="939"/>
      <c r="F1528" s="939"/>
      <c r="G1528" s="939"/>
      <c r="H1528" s="939"/>
      <c r="I1528" s="939"/>
      <c r="J1528" s="939"/>
      <c r="K1528" s="939"/>
      <c r="L1528" s="939"/>
      <c r="M1528" s="939"/>
      <c r="N1528" s="939"/>
      <c r="O1528" s="939"/>
      <c r="P1528" s="189"/>
      <c r="Q1528" s="189"/>
      <c r="R1528" s="189"/>
      <c r="S1528" s="189"/>
      <c r="T1528" s="189"/>
      <c r="U1528" s="189"/>
      <c r="V1528" s="189"/>
      <c r="W1528" s="189"/>
      <c r="X1528" s="189"/>
      <c r="Y1528" s="189"/>
      <c r="Z1528" s="189"/>
      <c r="AA1528" s="189"/>
      <c r="AB1528" s="189"/>
      <c r="AC1528" s="189"/>
      <c r="AD1528" s="190"/>
      <c r="AE1528" s="190"/>
      <c r="AG1528" s="17"/>
    </row>
    <row r="1529" spans="1:33" ht="15" customHeight="1">
      <c r="A1529" s="939" t="s">
        <v>779</v>
      </c>
      <c r="B1529" s="939"/>
      <c r="C1529" s="939"/>
      <c r="D1529" s="939"/>
      <c r="E1529" s="939"/>
      <c r="F1529" s="939"/>
      <c r="G1529" s="939"/>
      <c r="H1529" s="939"/>
      <c r="I1529" s="939"/>
      <c r="J1529" s="939"/>
      <c r="K1529" s="939"/>
      <c r="L1529" s="939"/>
      <c r="M1529" s="939"/>
      <c r="N1529" s="939"/>
      <c r="O1529" s="939"/>
      <c r="V1529" s="191"/>
      <c r="W1529" s="191"/>
      <c r="X1529" s="191"/>
      <c r="AG1529" s="17"/>
    </row>
    <row r="1530" spans="1:33" ht="29.25" customHeight="1">
      <c r="A1530" s="939" t="s">
        <v>780</v>
      </c>
      <c r="B1530" s="939"/>
      <c r="C1530" s="939"/>
      <c r="D1530" s="939"/>
      <c r="E1530" s="939"/>
      <c r="F1530" s="939"/>
      <c r="G1530" s="939"/>
      <c r="H1530" s="939"/>
      <c r="I1530" s="939"/>
      <c r="J1530" s="939"/>
      <c r="K1530" s="939"/>
      <c r="L1530" s="939"/>
      <c r="M1530" s="939"/>
      <c r="N1530" s="939"/>
      <c r="O1530" s="939"/>
      <c r="V1530" s="191"/>
      <c r="W1530" s="191"/>
      <c r="X1530" s="191"/>
      <c r="AG1530" s="17"/>
    </row>
    <row r="1531" spans="1:33" ht="15" customHeight="1">
      <c r="A1531" s="939" t="s">
        <v>781</v>
      </c>
      <c r="B1531" s="939"/>
      <c r="C1531" s="939"/>
      <c r="D1531" s="939"/>
      <c r="E1531" s="939"/>
      <c r="F1531" s="939"/>
      <c r="G1531" s="939"/>
      <c r="H1531" s="939"/>
      <c r="I1531" s="939"/>
      <c r="J1531" s="939"/>
      <c r="K1531" s="939"/>
      <c r="L1531" s="939"/>
      <c r="M1531" s="939"/>
      <c r="N1531" s="939"/>
      <c r="O1531" s="939"/>
      <c r="V1531" s="191"/>
      <c r="W1531" s="191"/>
      <c r="X1531" s="191"/>
      <c r="AG1531" s="17"/>
    </row>
    <row r="1532" spans="1:33" ht="15" customHeight="1">
      <c r="A1532" s="939" t="s">
        <v>782</v>
      </c>
      <c r="B1532" s="939"/>
      <c r="C1532" s="939"/>
      <c r="D1532" s="939"/>
      <c r="E1532" s="939"/>
      <c r="F1532" s="939"/>
      <c r="G1532" s="939"/>
      <c r="H1532" s="939"/>
      <c r="I1532" s="939"/>
      <c r="J1532" s="939"/>
      <c r="K1532" s="939"/>
      <c r="L1532" s="939"/>
      <c r="M1532" s="939"/>
      <c r="N1532" s="939"/>
      <c r="O1532" s="939"/>
      <c r="V1532" s="191"/>
      <c r="W1532" s="191"/>
      <c r="X1532" s="191"/>
      <c r="AG1532" s="17"/>
    </row>
    <row r="1533" spans="1:33" ht="15" customHeight="1">
      <c r="A1533" s="939" t="s">
        <v>783</v>
      </c>
      <c r="B1533" s="939"/>
      <c r="C1533" s="939"/>
      <c r="D1533" s="939"/>
      <c r="E1533" s="939"/>
      <c r="F1533" s="939"/>
      <c r="G1533" s="939"/>
      <c r="H1533" s="939"/>
      <c r="I1533" s="939"/>
      <c r="J1533" s="939"/>
      <c r="K1533" s="939"/>
      <c r="L1533" s="939"/>
      <c r="M1533" s="939"/>
      <c r="N1533" s="939"/>
      <c r="O1533" s="939"/>
      <c r="V1533" s="191"/>
      <c r="W1533" s="191"/>
      <c r="X1533" s="191"/>
      <c r="AG1533" s="17"/>
    </row>
    <row r="1534" spans="1:33" ht="13.5" customHeight="1">
      <c r="A1534" s="937" t="s">
        <v>863</v>
      </c>
      <c r="B1534" s="937"/>
      <c r="C1534" s="937"/>
      <c r="D1534" s="937"/>
      <c r="E1534" s="937"/>
      <c r="F1534" s="937"/>
      <c r="G1534" s="937"/>
      <c r="H1534" s="937"/>
      <c r="I1534" s="937"/>
      <c r="J1534" s="937"/>
      <c r="K1534" s="937"/>
      <c r="L1534" s="937"/>
      <c r="M1534" s="937"/>
      <c r="N1534" s="937"/>
      <c r="O1534" s="937"/>
      <c r="P1534" s="937"/>
      <c r="Q1534" s="937"/>
      <c r="AF1534" s="173"/>
      <c r="AG1534" s="17"/>
    </row>
    <row r="1535" spans="1:33" ht="13.5" customHeight="1">
      <c r="A1535" s="192" t="s">
        <v>864</v>
      </c>
      <c r="B1535" s="192"/>
      <c r="C1535" s="192"/>
      <c r="D1535" s="192"/>
      <c r="E1535" s="192"/>
      <c r="F1535" s="192"/>
      <c r="G1535" s="192"/>
      <c r="H1535" s="192"/>
      <c r="I1535" s="192"/>
      <c r="J1535" s="192"/>
      <c r="K1535" s="192"/>
      <c r="L1535" s="192"/>
      <c r="M1535" s="192"/>
      <c r="N1535" s="192"/>
      <c r="O1535" s="192"/>
      <c r="AF1535" s="173"/>
      <c r="AG1535" s="17"/>
    </row>
    <row r="1536" spans="1:33" ht="13.5" customHeight="1">
      <c r="A1536" s="940" t="s">
        <v>865</v>
      </c>
      <c r="B1536" s="940"/>
      <c r="C1536" s="940"/>
      <c r="D1536" s="940"/>
      <c r="E1536" s="940"/>
      <c r="F1536" s="940"/>
      <c r="G1536" s="941"/>
      <c r="H1536" s="940"/>
      <c r="I1536" s="940"/>
      <c r="J1536" s="940"/>
      <c r="K1536" s="940"/>
      <c r="L1536" s="940"/>
      <c r="M1536" s="940"/>
      <c r="N1536" s="940"/>
      <c r="O1536" s="940"/>
      <c r="AF1536" s="173"/>
      <c r="AG1536" s="17"/>
    </row>
    <row r="1537" spans="1:33" ht="13.5" customHeight="1">
      <c r="A1537" s="936" t="s">
        <v>866</v>
      </c>
      <c r="B1537" s="936"/>
      <c r="C1537" s="936"/>
      <c r="D1537" s="936"/>
      <c r="E1537" s="936"/>
      <c r="F1537" s="936"/>
      <c r="G1537" s="936"/>
      <c r="H1537" s="936"/>
      <c r="I1537" s="936"/>
      <c r="J1537" s="936"/>
      <c r="K1537" s="936"/>
      <c r="L1537" s="936"/>
      <c r="M1537" s="936"/>
      <c r="N1537" s="936"/>
      <c r="O1537" s="936"/>
      <c r="P1537" s="193"/>
      <c r="Q1537" s="193"/>
      <c r="AF1537" s="173"/>
      <c r="AG1537" s="17"/>
    </row>
    <row r="1538" spans="1:33" ht="13.5" customHeight="1">
      <c r="A1538" s="937" t="s">
        <v>867</v>
      </c>
      <c r="B1538" s="937"/>
      <c r="C1538" s="937"/>
      <c r="D1538" s="937"/>
      <c r="E1538" s="937"/>
      <c r="F1538" s="937"/>
      <c r="G1538" s="938"/>
      <c r="H1538" s="937"/>
      <c r="I1538" s="937"/>
      <c r="J1538" s="937"/>
      <c r="K1538" s="937"/>
      <c r="L1538" s="937"/>
      <c r="M1538" s="937"/>
      <c r="N1538" s="937"/>
      <c r="O1538" s="937"/>
      <c r="P1538" s="193"/>
      <c r="Q1538" s="193"/>
      <c r="AF1538" s="173"/>
      <c r="AG1538" s="17"/>
    </row>
  </sheetData>
  <mergeCells count="209">
    <mergeCell ref="A1525:B1525"/>
    <mergeCell ref="A1505:AE1505"/>
    <mergeCell ref="A1506:AE1506"/>
    <mergeCell ref="A1514:B1514"/>
    <mergeCell ref="A1515:AE1515"/>
    <mergeCell ref="A1537:O1537"/>
    <mergeCell ref="A1538:O1538"/>
    <mergeCell ref="A1527:O1527"/>
    <mergeCell ref="A1528:O1528"/>
    <mergeCell ref="A1529:O1529"/>
    <mergeCell ref="A1530:O1530"/>
    <mergeCell ref="A1531:O1531"/>
    <mergeCell ref="A1532:O1532"/>
    <mergeCell ref="A1533:O1533"/>
    <mergeCell ref="A1534:Q1534"/>
    <mergeCell ref="A1536:O1536"/>
    <mergeCell ref="A1517:B1517"/>
    <mergeCell ref="A1518:B1518"/>
    <mergeCell ref="A1519:AE1519"/>
    <mergeCell ref="A1520:AE1520"/>
    <mergeCell ref="A1468:AE1468"/>
    <mergeCell ref="A1478:B1478"/>
    <mergeCell ref="A1479:B1479"/>
    <mergeCell ref="A1480:AE1480"/>
    <mergeCell ref="A1461:AE1461"/>
    <mergeCell ref="A1467:B1467"/>
    <mergeCell ref="A1493:AE1493"/>
    <mergeCell ref="A1496:B1496"/>
    <mergeCell ref="A1524:B1524"/>
    <mergeCell ref="A1503:B1503"/>
    <mergeCell ref="A1504:B1504"/>
    <mergeCell ref="A1484:AE1484"/>
    <mergeCell ref="A1492:B1492"/>
    <mergeCell ref="A1497:AE1497"/>
    <mergeCell ref="A1481:AE1481"/>
    <mergeCell ref="A1483:B1483"/>
    <mergeCell ref="A1130:AE1130"/>
    <mergeCell ref="A1292:B1292"/>
    <mergeCell ref="A1293:AE1293"/>
    <mergeCell ref="A1315:B1315"/>
    <mergeCell ref="A1408:AE1408"/>
    <mergeCell ref="A1322:AE1322"/>
    <mergeCell ref="A1369:B1369"/>
    <mergeCell ref="A1370:AE1370"/>
    <mergeCell ref="A1397:B1397"/>
    <mergeCell ref="A1404:AE1404"/>
    <mergeCell ref="A1407:B1407"/>
    <mergeCell ref="A1398:AE1398"/>
    <mergeCell ref="A1403:B1403"/>
    <mergeCell ref="A1321:B1321"/>
    <mergeCell ref="A1453:B1453"/>
    <mergeCell ref="A1454:AE1454"/>
    <mergeCell ref="A1459:B1459"/>
    <mergeCell ref="A1460:AE1460"/>
    <mergeCell ref="A1069:AE1069"/>
    <mergeCell ref="A1070:AE1070"/>
    <mergeCell ref="A1075:B1075"/>
    <mergeCell ref="A1076:AE1076"/>
    <mergeCell ref="A1079:B1079"/>
    <mergeCell ref="A1080:B1080"/>
    <mergeCell ref="A1110:B1110"/>
    <mergeCell ref="A1111:AE1111"/>
    <mergeCell ref="A1117:B1117"/>
    <mergeCell ref="A1118:AE1118"/>
    <mergeCell ref="A1129:B1129"/>
    <mergeCell ref="A1098:AE1098"/>
    <mergeCell ref="A1086:B1086"/>
    <mergeCell ref="A1081:AE1081"/>
    <mergeCell ref="A1082:AE1082"/>
    <mergeCell ref="A1084:B1084"/>
    <mergeCell ref="A1085:B1085"/>
    <mergeCell ref="A1087:AE1087"/>
    <mergeCell ref="A1097:B1097"/>
    <mergeCell ref="A1316:AE1316"/>
    <mergeCell ref="A342:B342"/>
    <mergeCell ref="A347:AE347"/>
    <mergeCell ref="A353:B353"/>
    <mergeCell ref="A343:AE343"/>
    <mergeCell ref="A354:B354"/>
    <mergeCell ref="A355:AE355"/>
    <mergeCell ref="A356:AE356"/>
    <mergeCell ref="A395:B395"/>
    <mergeCell ref="A366:B366"/>
    <mergeCell ref="A370:AE370"/>
    <mergeCell ref="A385:AE385"/>
    <mergeCell ref="A386:AE386"/>
    <mergeCell ref="A391:B391"/>
    <mergeCell ref="A384:B384"/>
    <mergeCell ref="A392:AE392"/>
    <mergeCell ref="A367:AE367"/>
    <mergeCell ref="A369:B369"/>
    <mergeCell ref="A360:B360"/>
    <mergeCell ref="A339:B339"/>
    <mergeCell ref="A1054:AE1054"/>
    <mergeCell ref="A1056:B1056"/>
    <mergeCell ref="A705:B705"/>
    <mergeCell ref="A706:AE706"/>
    <mergeCell ref="A715:B715"/>
    <mergeCell ref="A716:AE716"/>
    <mergeCell ref="A831:AE831"/>
    <mergeCell ref="A833:B833"/>
    <mergeCell ref="A834:AE834"/>
    <mergeCell ref="A977:B977"/>
    <mergeCell ref="A978:AE978"/>
    <mergeCell ref="A773:B773"/>
    <mergeCell ref="A774:AE774"/>
    <mergeCell ref="A1001:AE1001"/>
    <mergeCell ref="A1005:B1005"/>
    <mergeCell ref="A484:B484"/>
    <mergeCell ref="A456:AE456"/>
    <mergeCell ref="A656:B656"/>
    <mergeCell ref="A657:AE657"/>
    <mergeCell ref="A485:AE485"/>
    <mergeCell ref="A466:AE466"/>
    <mergeCell ref="A340:AE340"/>
    <mergeCell ref="A439:AE439"/>
    <mergeCell ref="AG1:AG3"/>
    <mergeCell ref="A25:B25"/>
    <mergeCell ref="A12:AE12"/>
    <mergeCell ref="A11:B11"/>
    <mergeCell ref="A10:B10"/>
    <mergeCell ref="J7:K7"/>
    <mergeCell ref="V6:V7"/>
    <mergeCell ref="W6:W7"/>
    <mergeCell ref="X6:X7"/>
    <mergeCell ref="Y6:Y7"/>
    <mergeCell ref="Z6:Z7"/>
    <mergeCell ref="AA6:AA7"/>
    <mergeCell ref="A4:A8"/>
    <mergeCell ref="B4:B8"/>
    <mergeCell ref="C4:X4"/>
    <mergeCell ref="Y4:AC5"/>
    <mergeCell ref="AD4:AD8"/>
    <mergeCell ref="AE4:AE8"/>
    <mergeCell ref="D5:M6"/>
    <mergeCell ref="N5:O7"/>
    <mergeCell ref="P5:P7"/>
    <mergeCell ref="AF1:AF3"/>
    <mergeCell ref="Q5:Q7"/>
    <mergeCell ref="C5:C7"/>
    <mergeCell ref="A312:AE312"/>
    <mergeCell ref="A1:AE1"/>
    <mergeCell ref="A2:AE2"/>
    <mergeCell ref="A3:AE3"/>
    <mergeCell ref="S5:S7"/>
    <mergeCell ref="V5:X5"/>
    <mergeCell ref="AB6:AB7"/>
    <mergeCell ref="E7:F7"/>
    <mergeCell ref="A380:AE380"/>
    <mergeCell ref="A324:B324"/>
    <mergeCell ref="A372:B372"/>
    <mergeCell ref="A373:AE373"/>
    <mergeCell ref="A379:B379"/>
    <mergeCell ref="A325:AE325"/>
    <mergeCell ref="A361:AE361"/>
    <mergeCell ref="A250:AE250"/>
    <mergeCell ref="A259:B259"/>
    <mergeCell ref="A26:AE26"/>
    <mergeCell ref="A38:AE38"/>
    <mergeCell ref="A44:B44"/>
    <mergeCell ref="A45:AE45"/>
    <mergeCell ref="A344:AE344"/>
    <mergeCell ref="A346:B346"/>
    <mergeCell ref="A55:B55"/>
    <mergeCell ref="R5:R7"/>
    <mergeCell ref="A37:B37"/>
    <mergeCell ref="A260:AE260"/>
    <mergeCell ref="A266:B266"/>
    <mergeCell ref="A267:AE267"/>
    <mergeCell ref="A292:B292"/>
    <mergeCell ref="A249:B249"/>
    <mergeCell ref="A293:AE293"/>
    <mergeCell ref="A311:B311"/>
    <mergeCell ref="A56:AE56"/>
    <mergeCell ref="T5:U7"/>
    <mergeCell ref="AC6:AC7"/>
    <mergeCell ref="A411:AE411"/>
    <mergeCell ref="A410:B410"/>
    <mergeCell ref="A383:B383"/>
    <mergeCell ref="A1023:AE1023"/>
    <mergeCell ref="A398:AE398"/>
    <mergeCell ref="A408:B408"/>
    <mergeCell ref="A409:B409"/>
    <mergeCell ref="A438:B438"/>
    <mergeCell ref="A804:B804"/>
    <mergeCell ref="A805:AE805"/>
    <mergeCell ref="A830:B830"/>
    <mergeCell ref="A396:B396"/>
    <mergeCell ref="A397:AE397"/>
    <mergeCell ref="A1021:B1021"/>
    <mergeCell ref="A1022:AE1022"/>
    <mergeCell ref="A1068:B1068"/>
    <mergeCell ref="A1030:B1030"/>
    <mergeCell ref="A1031:AE1031"/>
    <mergeCell ref="A1046:B1046"/>
    <mergeCell ref="A999:B999"/>
    <mergeCell ref="A1000:AE1000"/>
    <mergeCell ref="A1006:AE1006"/>
    <mergeCell ref="A1020:B1020"/>
    <mergeCell ref="A455:B455"/>
    <mergeCell ref="A465:B465"/>
    <mergeCell ref="A1026:AE1026"/>
    <mergeCell ref="A1047:AE1047"/>
    <mergeCell ref="A1053:B1053"/>
    <mergeCell ref="A1057:AE1057"/>
    <mergeCell ref="A1063:B1063"/>
    <mergeCell ref="A1025:B1025"/>
    <mergeCell ref="A1064:AE1064"/>
    <mergeCell ref="A1067:B1067"/>
  </mergeCells>
  <pageMargins left="0.23622047244094491" right="0.23622047244094491" top="0.74803149606299213" bottom="0.74803149606299213" header="0.31496062992125984" footer="0.31496062992125984"/>
  <pageSetup paperSize="9" scale="33" fitToHeight="3" orientation="landscape" r:id="rId1"/>
  <ignoredErrors>
    <ignoredError sqref="AB352 AB20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2023-2025</vt:lpstr>
      <vt:lpstr>'2023-2025'!Область_печати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</dc:creator>
  <cp:lastModifiedBy>mkasyanova</cp:lastModifiedBy>
  <cp:lastPrinted>2024-10-30T05:37:05Z</cp:lastPrinted>
  <dcterms:created xsi:type="dcterms:W3CDTF">2015-06-05T18:17:20Z</dcterms:created>
  <dcterms:modified xsi:type="dcterms:W3CDTF">2025-05-27T11:42:25Z</dcterms:modified>
</cp:coreProperties>
</file>